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G:\wvl\LO_IM\Algemeen\OpdrachtenKR\Landbouw\Bijlage Rav_Rgv_Fijn stof\Wijziging Fijn stof lijst\0. Rekenmodel Vee-combistof\Rekenmodel V2 Excel TEST\"/>
    </mc:Choice>
  </mc:AlternateContent>
  <bookViews>
    <workbookView xWindow="-105" yWindow="-105" windowWidth="23250" windowHeight="12570" tabRatio="632"/>
  </bookViews>
  <sheets>
    <sheet name="VLEESKUIKENOUDERDIEREN" sheetId="18" r:id="rId1"/>
    <sheet name="wisselend debiet en reductie" sheetId="19" state="hidden" r:id="rId2"/>
    <sheet name="Max waarden" sheetId="15" state="hidden" r:id="rId3"/>
    <sheet name="Reductietechnieken" sheetId="14" state="hidden" r:id="rId4"/>
    <sheet name="vkod" sheetId="1" state="hidden" r:id="rId5"/>
  </sheets>
  <definedNames>
    <definedName name="_xlnm.Print_Area" localSheetId="0">VLEESKUIKENOUDERDIEREN!$A$1:$Q$34</definedName>
    <definedName name="_xlnm.Print_Titles" localSheetId="1">'wisselend debiet en reductie'!$A:$A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 i="18" l="1"/>
  <c r="I48" i="15" l="1"/>
  <c r="G48" i="15"/>
  <c r="E48" i="15"/>
  <c r="C48" i="15"/>
  <c r="E20" i="18" l="1"/>
  <c r="E23" i="18" s="1"/>
  <c r="E54" i="19" l="1"/>
  <c r="E53" i="19"/>
  <c r="E52" i="19"/>
  <c r="E51" i="19"/>
  <c r="E50" i="19"/>
  <c r="E49" i="19"/>
  <c r="E48" i="19"/>
  <c r="E47" i="19"/>
  <c r="E46" i="19"/>
  <c r="E45" i="19"/>
  <c r="E44" i="19"/>
  <c r="E43" i="19"/>
  <c r="E42" i="19"/>
  <c r="E41" i="19"/>
  <c r="E40" i="19"/>
  <c r="E39" i="19"/>
  <c r="E38" i="19"/>
  <c r="E37" i="19"/>
  <c r="E36" i="19"/>
  <c r="E35" i="19"/>
  <c r="E34" i="19"/>
  <c r="E33" i="19"/>
  <c r="E32" i="19"/>
  <c r="E31" i="19"/>
  <c r="E68" i="19" s="1"/>
  <c r="E30" i="19"/>
  <c r="H14" i="18" l="1"/>
  <c r="I15" i="18" l="1"/>
  <c r="I12" i="18" l="1"/>
  <c r="C54" i="14" l="1"/>
  <c r="E70" i="19" l="1"/>
  <c r="B68" i="19"/>
  <c r="AA39" i="19"/>
  <c r="AA38" i="19"/>
  <c r="AF33" i="19"/>
  <c r="AF34" i="19" s="1"/>
  <c r="AF36" i="19" s="1"/>
  <c r="AE33" i="19"/>
  <c r="AE34" i="19" s="1"/>
  <c r="AE36" i="19" s="1"/>
  <c r="AD33" i="19"/>
  <c r="AD34" i="19" s="1"/>
  <c r="AD36" i="19" s="1"/>
  <c r="AC33" i="19"/>
  <c r="AC34" i="19" s="1"/>
  <c r="AC36" i="19" s="1"/>
  <c r="AF27" i="19"/>
  <c r="AE27" i="19"/>
  <c r="AD27" i="19"/>
  <c r="AC27" i="19"/>
  <c r="AF10" i="19"/>
  <c r="AE10" i="19"/>
  <c r="AD10" i="19"/>
  <c r="AC10" i="19"/>
  <c r="J3" i="19"/>
  <c r="O83" i="19" l="1"/>
  <c r="D33" i="18" l="1"/>
  <c r="J25" i="18"/>
  <c r="E6" i="18"/>
  <c r="F20" i="18" l="1"/>
  <c r="M19" i="18" s="1"/>
  <c r="H19" i="18" l="1"/>
  <c r="F14" i="18"/>
  <c r="R4" i="19" l="1"/>
  <c r="M17" i="18"/>
  <c r="G16" i="18"/>
  <c r="J14" i="18"/>
  <c r="L11" i="18" l="1"/>
  <c r="D25" i="14"/>
  <c r="D24" i="14"/>
  <c r="D23" i="14"/>
  <c r="D22" i="14"/>
  <c r="D21" i="14"/>
  <c r="D20" i="14"/>
  <c r="D19" i="14"/>
  <c r="D18" i="14"/>
  <c r="S2" i="14" s="1"/>
  <c r="D17" i="14"/>
  <c r="D16" i="14"/>
  <c r="Q2" i="14" s="1"/>
  <c r="D15" i="14"/>
  <c r="P2" i="14" s="1"/>
  <c r="D14" i="14"/>
  <c r="O2" i="14" s="1"/>
  <c r="D13" i="14"/>
  <c r="D12" i="14"/>
  <c r="D11" i="14"/>
  <c r="D10" i="14"/>
  <c r="D9" i="14"/>
  <c r="D8" i="14"/>
  <c r="I2" i="14" s="1"/>
  <c r="D6" i="14"/>
  <c r="D5" i="14"/>
  <c r="G2" i="14" s="1"/>
  <c r="D4" i="14"/>
  <c r="D3" i="14"/>
  <c r="Q3" i="14" s="1"/>
  <c r="U2" i="14"/>
  <c r="U20" i="14" s="1"/>
  <c r="J2" i="14"/>
  <c r="F2" i="14"/>
  <c r="P14" i="14" l="1"/>
  <c r="J24" i="14"/>
  <c r="G21" i="14"/>
  <c r="E2" i="14"/>
  <c r="E6" i="14" s="1"/>
  <c r="Q16" i="14"/>
  <c r="Q4" i="14"/>
  <c r="U12" i="14"/>
  <c r="U23" i="14"/>
  <c r="G9" i="14"/>
  <c r="Q24" i="14"/>
  <c r="F3" i="14"/>
  <c r="G5" i="14"/>
  <c r="J4" i="14"/>
  <c r="Q11" i="14"/>
  <c r="F19" i="14"/>
  <c r="Q22" i="14"/>
  <c r="P6" i="14"/>
  <c r="J9" i="14"/>
  <c r="J15" i="14"/>
  <c r="F16" i="14"/>
  <c r="F20" i="14"/>
  <c r="L2" i="14"/>
  <c r="L6" i="14" s="1"/>
  <c r="W2" i="14"/>
  <c r="W6" i="14" s="1"/>
  <c r="U4" i="14"/>
  <c r="G6" i="14"/>
  <c r="Q6" i="14"/>
  <c r="Q9" i="14"/>
  <c r="F11" i="14"/>
  <c r="F12" i="14"/>
  <c r="G13" i="14"/>
  <c r="U14" i="14"/>
  <c r="J20" i="14"/>
  <c r="F24" i="14"/>
  <c r="H2" i="14"/>
  <c r="H4" i="14" s="1"/>
  <c r="M2" i="14"/>
  <c r="M14" i="14" s="1"/>
  <c r="X2" i="14"/>
  <c r="X22" i="14" s="1"/>
  <c r="F4" i="14"/>
  <c r="H6" i="14"/>
  <c r="U6" i="14"/>
  <c r="F9" i="14"/>
  <c r="J12" i="14"/>
  <c r="U15" i="14"/>
  <c r="Q19" i="14"/>
  <c r="P22" i="14"/>
  <c r="J23" i="14"/>
  <c r="G24" i="14"/>
  <c r="T2" i="14"/>
  <c r="T15" i="14" s="1"/>
  <c r="Y2" i="14"/>
  <c r="Y20" i="14" s="1"/>
  <c r="I24" i="14"/>
  <c r="I16" i="14"/>
  <c r="S24" i="14"/>
  <c r="S22" i="14"/>
  <c r="S16" i="14"/>
  <c r="S14" i="14"/>
  <c r="I4" i="14"/>
  <c r="S4" i="14"/>
  <c r="S8" i="14"/>
  <c r="O8" i="14"/>
  <c r="G8" i="14"/>
  <c r="I8" i="14"/>
  <c r="Q10" i="14"/>
  <c r="I10" i="14"/>
  <c r="U10" i="14"/>
  <c r="P10" i="14"/>
  <c r="J10" i="14"/>
  <c r="S10" i="14"/>
  <c r="I12" i="14"/>
  <c r="S12" i="14"/>
  <c r="I15" i="14"/>
  <c r="I18" i="14"/>
  <c r="U25" i="14"/>
  <c r="Q25" i="14"/>
  <c r="I25" i="14"/>
  <c r="S25" i="14"/>
  <c r="Z2" i="14"/>
  <c r="Z8" i="14" s="1"/>
  <c r="G25" i="14"/>
  <c r="O25" i="14"/>
  <c r="O24" i="14"/>
  <c r="O16" i="14"/>
  <c r="O4" i="14"/>
  <c r="S5" i="14"/>
  <c r="J8" i="14"/>
  <c r="P8" i="14"/>
  <c r="U8" i="14"/>
  <c r="F10" i="14"/>
  <c r="U17" i="14"/>
  <c r="Q17" i="14"/>
  <c r="I17" i="14"/>
  <c r="S17" i="14"/>
  <c r="R2" i="14"/>
  <c r="R22" i="14" s="1"/>
  <c r="G17" i="14"/>
  <c r="O17" i="14"/>
  <c r="S21" i="14"/>
  <c r="S23" i="14"/>
  <c r="O23" i="14"/>
  <c r="G23" i="14"/>
  <c r="Q23" i="14"/>
  <c r="F23" i="14"/>
  <c r="F25" i="14"/>
  <c r="P25" i="14"/>
  <c r="G20" i="14"/>
  <c r="G12" i="14"/>
  <c r="K2" i="14"/>
  <c r="K5" i="14" s="1"/>
  <c r="U24" i="14"/>
  <c r="U16" i="14"/>
  <c r="S3" i="14"/>
  <c r="O3" i="14"/>
  <c r="G3" i="14"/>
  <c r="I3" i="14"/>
  <c r="U5" i="14"/>
  <c r="Q5" i="14"/>
  <c r="I5" i="14"/>
  <c r="J5" i="14"/>
  <c r="O5" i="14"/>
  <c r="S6" i="14"/>
  <c r="F8" i="14"/>
  <c r="Q8" i="14"/>
  <c r="I9" i="14"/>
  <c r="S9" i="14"/>
  <c r="G10" i="14"/>
  <c r="S13" i="14"/>
  <c r="S15" i="14"/>
  <c r="O15" i="14"/>
  <c r="G15" i="14"/>
  <c r="H15" i="14"/>
  <c r="Q15" i="14"/>
  <c r="F15" i="14"/>
  <c r="G16" i="14"/>
  <c r="F17" i="14"/>
  <c r="P17" i="14"/>
  <c r="J18" i="14"/>
  <c r="F18" i="14"/>
  <c r="Q18" i="14"/>
  <c r="G18" i="14"/>
  <c r="U18" i="14"/>
  <c r="P18" i="14"/>
  <c r="O18" i="14"/>
  <c r="O20" i="14"/>
  <c r="G22" i="14"/>
  <c r="P23" i="14"/>
  <c r="J25" i="14"/>
  <c r="Q20" i="14"/>
  <c r="Q12" i="14"/>
  <c r="J3" i="14"/>
  <c r="P3" i="14"/>
  <c r="U3" i="14"/>
  <c r="G4" i="14"/>
  <c r="W4" i="14"/>
  <c r="F5" i="14"/>
  <c r="P5" i="14"/>
  <c r="J6" i="14"/>
  <c r="F6" i="14"/>
  <c r="I6" i="14"/>
  <c r="O6" i="14"/>
  <c r="O9" i="14"/>
  <c r="U9" i="14"/>
  <c r="O10" i="14"/>
  <c r="O12" i="14"/>
  <c r="G14" i="14"/>
  <c r="Q14" i="14"/>
  <c r="P15" i="14"/>
  <c r="J17" i="14"/>
  <c r="S18" i="14"/>
  <c r="I20" i="14"/>
  <c r="S20" i="14"/>
  <c r="U22" i="14"/>
  <c r="I23" i="14"/>
  <c r="W24" i="14"/>
  <c r="S11" i="14"/>
  <c r="O11" i="14"/>
  <c r="G11" i="14"/>
  <c r="I11" i="14"/>
  <c r="U13" i="14"/>
  <c r="Q13" i="14"/>
  <c r="I13" i="14"/>
  <c r="J13" i="14"/>
  <c r="O13" i="14"/>
  <c r="S19" i="14"/>
  <c r="O19" i="14"/>
  <c r="G19" i="14"/>
  <c r="I19" i="14"/>
  <c r="U21" i="14"/>
  <c r="Q21" i="14"/>
  <c r="I21" i="14"/>
  <c r="J21" i="14"/>
  <c r="O21" i="14"/>
  <c r="N2" i="14"/>
  <c r="N8" i="14" s="1"/>
  <c r="V2" i="14"/>
  <c r="P4" i="14"/>
  <c r="P9" i="14"/>
  <c r="J11" i="14"/>
  <c r="P11" i="14"/>
  <c r="U11" i="14"/>
  <c r="F13" i="14"/>
  <c r="P13" i="14"/>
  <c r="J14" i="14"/>
  <c r="F14" i="14"/>
  <c r="I14" i="14"/>
  <c r="O14" i="14"/>
  <c r="J16" i="14"/>
  <c r="J19" i="14"/>
  <c r="P19" i="14"/>
  <c r="U19" i="14"/>
  <c r="F21" i="14"/>
  <c r="P21" i="14"/>
  <c r="J22" i="14"/>
  <c r="F22" i="14"/>
  <c r="I22" i="14"/>
  <c r="O22" i="14"/>
  <c r="P12" i="14"/>
  <c r="P16" i="14"/>
  <c r="H20" i="14"/>
  <c r="P20" i="14"/>
  <c r="P24" i="14"/>
  <c r="E17" i="14" l="1"/>
  <c r="W12" i="14"/>
  <c r="E5" i="14"/>
  <c r="E22" i="14"/>
  <c r="W17" i="14"/>
  <c r="E12" i="14"/>
  <c r="Y17" i="14"/>
  <c r="W20" i="14"/>
  <c r="W18" i="14"/>
  <c r="W15" i="14"/>
  <c r="E16" i="14"/>
  <c r="H14" i="14"/>
  <c r="H25" i="14"/>
  <c r="H24" i="14"/>
  <c r="Z3" i="14"/>
  <c r="E11" i="14"/>
  <c r="E13" i="14"/>
  <c r="E19" i="14"/>
  <c r="W10" i="14"/>
  <c r="T9" i="14"/>
  <c r="E21" i="14"/>
  <c r="T13" i="14"/>
  <c r="E15" i="14"/>
  <c r="E9" i="14"/>
  <c r="E14" i="14"/>
  <c r="W3" i="14"/>
  <c r="E20" i="14"/>
  <c r="E4" i="14"/>
  <c r="E25" i="14"/>
  <c r="E10" i="14"/>
  <c r="W8" i="14"/>
  <c r="M22" i="14"/>
  <c r="E24" i="14"/>
  <c r="H12" i="14"/>
  <c r="T14" i="14"/>
  <c r="T21" i="14"/>
  <c r="H18" i="14"/>
  <c r="H10" i="14"/>
  <c r="E3" i="14"/>
  <c r="E23" i="14"/>
  <c r="E18" i="14"/>
  <c r="L18" i="14"/>
  <c r="M5" i="14"/>
  <c r="W23" i="14"/>
  <c r="H17" i="14"/>
  <c r="M9" i="14"/>
  <c r="E8" i="14"/>
  <c r="H11" i="14"/>
  <c r="W22" i="14"/>
  <c r="L16" i="14"/>
  <c r="R14" i="14"/>
  <c r="L4" i="14"/>
  <c r="L11" i="14"/>
  <c r="R18" i="14"/>
  <c r="Y15" i="14"/>
  <c r="L8" i="14"/>
  <c r="L23" i="14"/>
  <c r="L22" i="14"/>
  <c r="L20" i="14"/>
  <c r="L9" i="14"/>
  <c r="T17" i="14"/>
  <c r="L17" i="14"/>
  <c r="Y16" i="14"/>
  <c r="X13" i="14"/>
  <c r="L24" i="14"/>
  <c r="L12" i="14"/>
  <c r="T4" i="14"/>
  <c r="Y21" i="14"/>
  <c r="T6" i="14"/>
  <c r="L15" i="14"/>
  <c r="T3" i="14"/>
  <c r="X23" i="14"/>
  <c r="X18" i="14"/>
  <c r="X17" i="14"/>
  <c r="L25" i="14"/>
  <c r="X20" i="14"/>
  <c r="L10" i="14"/>
  <c r="X5" i="14"/>
  <c r="X3" i="14"/>
  <c r="X4" i="14"/>
  <c r="X24" i="14"/>
  <c r="X19" i="14"/>
  <c r="X8" i="14"/>
  <c r="X15" i="14"/>
  <c r="X10" i="14"/>
  <c r="X9" i="14"/>
  <c r="X6" i="14"/>
  <c r="X12" i="14"/>
  <c r="M16" i="14"/>
  <c r="X14" i="14"/>
  <c r="W5" i="14"/>
  <c r="H16" i="14"/>
  <c r="Y14" i="14"/>
  <c r="H9" i="14"/>
  <c r="X16" i="14"/>
  <c r="W11" i="14"/>
  <c r="X21" i="14"/>
  <c r="Y3" i="14"/>
  <c r="X25" i="14"/>
  <c r="X11" i="14"/>
  <c r="W9" i="14"/>
  <c r="M21" i="14"/>
  <c r="Y19" i="14"/>
  <c r="Y13" i="14"/>
  <c r="M8" i="14"/>
  <c r="Z6" i="14"/>
  <c r="Y18" i="14"/>
  <c r="M15" i="14"/>
  <c r="Y12" i="14"/>
  <c r="Y9" i="14"/>
  <c r="M17" i="14"/>
  <c r="Y24" i="14"/>
  <c r="Y25" i="14"/>
  <c r="Y8" i="14"/>
  <c r="M12" i="14"/>
  <c r="Y4" i="14"/>
  <c r="H3" i="14"/>
  <c r="H21" i="14"/>
  <c r="H5" i="14"/>
  <c r="H19" i="14"/>
  <c r="T18" i="14"/>
  <c r="T24" i="14"/>
  <c r="T20" i="14"/>
  <c r="T16" i="14"/>
  <c r="T12" i="14"/>
  <c r="Y22" i="14"/>
  <c r="T19" i="14"/>
  <c r="M13" i="14"/>
  <c r="Y11" i="14"/>
  <c r="M24" i="14"/>
  <c r="M19" i="14"/>
  <c r="Y10" i="14"/>
  <c r="H8" i="14"/>
  <c r="M4" i="14"/>
  <c r="H22" i="14"/>
  <c r="M6" i="14"/>
  <c r="Y23" i="14"/>
  <c r="H23" i="14"/>
  <c r="M18" i="14"/>
  <c r="T10" i="14"/>
  <c r="M25" i="14"/>
  <c r="M11" i="14"/>
  <c r="M10" i="14"/>
  <c r="T8" i="14"/>
  <c r="M20" i="14"/>
  <c r="W16" i="14"/>
  <c r="W14" i="14"/>
  <c r="W21" i="14"/>
  <c r="T22" i="14"/>
  <c r="W19" i="14"/>
  <c r="T11" i="14"/>
  <c r="T23" i="14"/>
  <c r="W13" i="14"/>
  <c r="Y6" i="14"/>
  <c r="T25" i="14"/>
  <c r="T5" i="14"/>
  <c r="Y5" i="14"/>
  <c r="M23" i="14"/>
  <c r="M3" i="14"/>
  <c r="W25" i="14"/>
  <c r="L13" i="14"/>
  <c r="L3" i="14"/>
  <c r="L21" i="14"/>
  <c r="L5" i="14"/>
  <c r="L19" i="14"/>
  <c r="L14" i="14"/>
  <c r="H13" i="14"/>
  <c r="V20" i="14"/>
  <c r="V12" i="14"/>
  <c r="V16" i="14"/>
  <c r="V11" i="14"/>
  <c r="V24" i="14"/>
  <c r="V19" i="14"/>
  <c r="V4" i="14"/>
  <c r="V17" i="14"/>
  <c r="V9" i="14"/>
  <c r="V3" i="14"/>
  <c r="V6" i="14"/>
  <c r="V8" i="14"/>
  <c r="K20" i="14"/>
  <c r="K12" i="14"/>
  <c r="K22" i="14"/>
  <c r="K16" i="14"/>
  <c r="K24" i="14"/>
  <c r="K4" i="14"/>
  <c r="K17" i="14"/>
  <c r="K14" i="14"/>
  <c r="K9" i="14"/>
  <c r="K6" i="14"/>
  <c r="K23" i="14"/>
  <c r="R20" i="14"/>
  <c r="R12" i="14"/>
  <c r="R4" i="14"/>
  <c r="R16" i="14"/>
  <c r="R11" i="14"/>
  <c r="R24" i="14"/>
  <c r="R19" i="14"/>
  <c r="R13" i="14"/>
  <c r="R9" i="14"/>
  <c r="R3" i="14"/>
  <c r="R21" i="14"/>
  <c r="R5" i="14"/>
  <c r="V10" i="14"/>
  <c r="V22" i="14"/>
  <c r="K21" i="14"/>
  <c r="V14" i="14"/>
  <c r="K13" i="14"/>
  <c r="N24" i="14"/>
  <c r="N16" i="14"/>
  <c r="N21" i="14"/>
  <c r="N12" i="14"/>
  <c r="N9" i="14"/>
  <c r="N20" i="14"/>
  <c r="N5" i="14"/>
  <c r="N13" i="14"/>
  <c r="N4" i="14"/>
  <c r="R8" i="14"/>
  <c r="V18" i="14"/>
  <c r="K15" i="14"/>
  <c r="R23" i="14"/>
  <c r="K10" i="14"/>
  <c r="Z24" i="14"/>
  <c r="Z16" i="14"/>
  <c r="Z12" i="14"/>
  <c r="Z9" i="14"/>
  <c r="Z20" i="14"/>
  <c r="Z4" i="14"/>
  <c r="Z10" i="14"/>
  <c r="Z22" i="14"/>
  <c r="Z14" i="14"/>
  <c r="K19" i="14"/>
  <c r="K11" i="14"/>
  <c r="V25" i="14"/>
  <c r="Z15" i="14"/>
  <c r="N6" i="14"/>
  <c r="V5" i="14"/>
  <c r="Z23" i="14"/>
  <c r="K18" i="14"/>
  <c r="Z18" i="14"/>
  <c r="R15" i="14"/>
  <c r="N10" i="14"/>
  <c r="K3" i="14"/>
  <c r="N23" i="14"/>
  <c r="V23" i="14"/>
  <c r="Z17" i="14"/>
  <c r="R17" i="14"/>
  <c r="N17" i="14"/>
  <c r="N22" i="14"/>
  <c r="V21" i="14"/>
  <c r="Z19" i="14"/>
  <c r="N14" i="14"/>
  <c r="V13" i="14"/>
  <c r="Z11" i="14"/>
  <c r="Z21" i="14"/>
  <c r="N19" i="14"/>
  <c r="Z13" i="14"/>
  <c r="N11" i="14"/>
  <c r="K25" i="14"/>
  <c r="R6" i="14"/>
  <c r="N18" i="14"/>
  <c r="N15" i="14"/>
  <c r="V15" i="14"/>
  <c r="Z5" i="14"/>
  <c r="N3" i="14"/>
  <c r="Z25" i="14"/>
  <c r="R25" i="14"/>
  <c r="N25" i="14"/>
  <c r="R10" i="14"/>
  <c r="K8" i="14"/>
  <c r="L2" i="1" l="1"/>
  <c r="J2" i="1" l="1"/>
  <c r="K2" i="1" s="1"/>
  <c r="C58" i="1" l="1"/>
  <c r="C57" i="1"/>
  <c r="C56" i="1"/>
  <c r="C55" i="1"/>
  <c r="C54" i="1"/>
  <c r="C53" i="1"/>
  <c r="C52" i="1"/>
  <c r="C51" i="1"/>
  <c r="C50" i="1"/>
  <c r="C49" i="1"/>
  <c r="C48" i="1"/>
  <c r="C22" i="1"/>
  <c r="C21" i="1"/>
  <c r="C20" i="1"/>
  <c r="C19" i="1"/>
  <c r="C18" i="1"/>
  <c r="C17" i="1"/>
  <c r="C16" i="1"/>
  <c r="C15" i="1"/>
  <c r="C14" i="1"/>
  <c r="C13" i="1"/>
  <c r="C12" i="1"/>
  <c r="C11" i="1"/>
  <c r="C10" i="1"/>
  <c r="C9" i="1"/>
  <c r="C8" i="1"/>
  <c r="C7" i="1"/>
  <c r="C6" i="1"/>
  <c r="C5" i="1"/>
  <c r="C4" i="1"/>
  <c r="C3" i="1"/>
  <c r="D5" i="1" l="1"/>
  <c r="D7" i="1"/>
  <c r="D9" i="1"/>
  <c r="D11" i="1"/>
  <c r="D13" i="1"/>
  <c r="D15" i="1"/>
  <c r="D17" i="1"/>
  <c r="D19" i="1"/>
  <c r="D21" i="1"/>
  <c r="D3" i="1"/>
  <c r="B23" i="1"/>
  <c r="B24" i="1"/>
  <c r="C24" i="1" s="1"/>
  <c r="B25" i="1"/>
  <c r="B26" i="1"/>
  <c r="C26" i="1" s="1"/>
  <c r="B27" i="1"/>
  <c r="C27" i="1" s="1"/>
  <c r="B28" i="1"/>
  <c r="B29" i="1"/>
  <c r="C29" i="1" s="1"/>
  <c r="B30" i="1"/>
  <c r="C30" i="1" s="1"/>
  <c r="B31" i="1"/>
  <c r="C31" i="1" s="1"/>
  <c r="D31" i="1" s="1"/>
  <c r="B32" i="1"/>
  <c r="B33" i="1"/>
  <c r="C33" i="1" s="1"/>
  <c r="D33" i="1" s="1"/>
  <c r="B34" i="1"/>
  <c r="C34" i="1" s="1"/>
  <c r="B35" i="1"/>
  <c r="C35" i="1" s="1"/>
  <c r="D35" i="1" s="1"/>
  <c r="B36" i="1"/>
  <c r="B37" i="1"/>
  <c r="C37" i="1" s="1"/>
  <c r="B38" i="1"/>
  <c r="C38" i="1" s="1"/>
  <c r="B39" i="1"/>
  <c r="C39" i="1" s="1"/>
  <c r="D39" i="1" s="1"/>
  <c r="B40" i="1"/>
  <c r="G40" i="1" s="1"/>
  <c r="B41" i="1"/>
  <c r="C41" i="1" s="1"/>
  <c r="D41" i="1" s="1"/>
  <c r="B42" i="1"/>
  <c r="C42" i="1" s="1"/>
  <c r="B43" i="1"/>
  <c r="C43" i="1" s="1"/>
  <c r="D43" i="1" s="1"/>
  <c r="B44" i="1"/>
  <c r="B45" i="1"/>
  <c r="C45" i="1" s="1"/>
  <c r="B46" i="1"/>
  <c r="C46" i="1" s="1"/>
  <c r="B47" i="1"/>
  <c r="C47" i="1" s="1"/>
  <c r="D47" i="1" s="1"/>
  <c r="E58" i="1"/>
  <c r="G58" i="1" s="1"/>
  <c r="E3" i="1"/>
  <c r="G3" i="1" s="1"/>
  <c r="E4" i="1"/>
  <c r="E5" i="1"/>
  <c r="G5" i="1" s="1"/>
  <c r="E6" i="1"/>
  <c r="G6" i="1" s="1"/>
  <c r="E7" i="1"/>
  <c r="G7" i="1" s="1"/>
  <c r="E8" i="1"/>
  <c r="G8" i="1" s="1"/>
  <c r="E9" i="1"/>
  <c r="E10" i="1"/>
  <c r="G10" i="1" s="1"/>
  <c r="E11" i="1"/>
  <c r="G11" i="1" s="1"/>
  <c r="E12" i="1"/>
  <c r="E13" i="1"/>
  <c r="E14" i="1"/>
  <c r="G14" i="1" s="1"/>
  <c r="E15" i="1"/>
  <c r="G15" i="1" s="1"/>
  <c r="E16" i="1"/>
  <c r="G16" i="1" s="1"/>
  <c r="E17" i="1"/>
  <c r="G17" i="1" s="1"/>
  <c r="E18" i="1"/>
  <c r="G18" i="1" s="1"/>
  <c r="E19" i="1"/>
  <c r="G19" i="1" s="1"/>
  <c r="E20" i="1"/>
  <c r="E21" i="1"/>
  <c r="G21" i="1" s="1"/>
  <c r="E22" i="1"/>
  <c r="G22" i="1" s="1"/>
  <c r="E23" i="1"/>
  <c r="E24" i="1"/>
  <c r="E25" i="1"/>
  <c r="E26" i="1"/>
  <c r="E27" i="1"/>
  <c r="E28" i="1"/>
  <c r="E29" i="1"/>
  <c r="E30" i="1"/>
  <c r="E31" i="1"/>
  <c r="E32" i="1"/>
  <c r="E33" i="1"/>
  <c r="E34" i="1"/>
  <c r="E35" i="1"/>
  <c r="E36" i="1"/>
  <c r="E37" i="1"/>
  <c r="E38" i="1"/>
  <c r="E39" i="1"/>
  <c r="E40" i="1"/>
  <c r="E41" i="1"/>
  <c r="E42" i="1"/>
  <c r="E43" i="1"/>
  <c r="E44" i="1"/>
  <c r="E45" i="1"/>
  <c r="E46" i="1"/>
  <c r="E47" i="1"/>
  <c r="E48" i="1"/>
  <c r="G48" i="1" s="1"/>
  <c r="E49" i="1"/>
  <c r="G49" i="1" s="1"/>
  <c r="E50" i="1"/>
  <c r="G50" i="1" s="1"/>
  <c r="E51" i="1"/>
  <c r="E52" i="1"/>
  <c r="G52" i="1" s="1"/>
  <c r="E53" i="1"/>
  <c r="G53" i="1" s="1"/>
  <c r="E54" i="1"/>
  <c r="G54" i="1" s="1"/>
  <c r="E55" i="1"/>
  <c r="G55" i="1" s="1"/>
  <c r="E56" i="1"/>
  <c r="G56" i="1" s="1"/>
  <c r="E57" i="1"/>
  <c r="G57" i="1" s="1"/>
  <c r="D58" i="1"/>
  <c r="K58" i="1" s="1"/>
  <c r="D4" i="1"/>
  <c r="K4" i="1" s="1"/>
  <c r="D6" i="1"/>
  <c r="D8" i="1"/>
  <c r="K8" i="1" s="1"/>
  <c r="D10" i="1"/>
  <c r="K10" i="1" s="1"/>
  <c r="D12" i="1"/>
  <c r="K12" i="1" s="1"/>
  <c r="D14" i="1"/>
  <c r="D16" i="1"/>
  <c r="K16" i="1" s="1"/>
  <c r="D18" i="1"/>
  <c r="K18" i="1" s="1"/>
  <c r="D20" i="1"/>
  <c r="K20" i="1" s="1"/>
  <c r="D22" i="1"/>
  <c r="D27" i="1"/>
  <c r="D48" i="1"/>
  <c r="D49" i="1"/>
  <c r="D50" i="1"/>
  <c r="D51" i="1"/>
  <c r="D52" i="1"/>
  <c r="D53" i="1"/>
  <c r="D54" i="1"/>
  <c r="D55" i="1"/>
  <c r="D56" i="1"/>
  <c r="D57" i="1"/>
  <c r="G20" i="1"/>
  <c r="G12" i="1"/>
  <c r="G4" i="1"/>
  <c r="K54" i="1" l="1"/>
  <c r="K50" i="1"/>
  <c r="K22" i="1"/>
  <c r="K14" i="1"/>
  <c r="K6" i="1"/>
  <c r="G44" i="1"/>
  <c r="G36" i="1"/>
  <c r="G32" i="1"/>
  <c r="G28" i="1"/>
  <c r="G24" i="1"/>
  <c r="K51" i="1"/>
  <c r="G33" i="1"/>
  <c r="K47" i="1"/>
  <c r="K35" i="1"/>
  <c r="K55" i="1"/>
  <c r="K27" i="1"/>
  <c r="G37" i="1"/>
  <c r="G29" i="1"/>
  <c r="G25" i="1"/>
  <c r="K43" i="1"/>
  <c r="K39" i="1"/>
  <c r="K31" i="1"/>
  <c r="K17" i="1"/>
  <c r="G47" i="1"/>
  <c r="K3" i="1"/>
  <c r="K15" i="1"/>
  <c r="K7" i="1"/>
  <c r="K9" i="1"/>
  <c r="K57" i="1"/>
  <c r="K53" i="1"/>
  <c r="K49" i="1"/>
  <c r="G43" i="1"/>
  <c r="G39" i="1"/>
  <c r="G35" i="1"/>
  <c r="G31" i="1"/>
  <c r="G27" i="1"/>
  <c r="G23" i="1"/>
  <c r="K41" i="1"/>
  <c r="K33" i="1"/>
  <c r="K56" i="1"/>
  <c r="K52" i="1"/>
  <c r="K48" i="1"/>
  <c r="K19" i="1"/>
  <c r="K11" i="1"/>
  <c r="K21" i="1"/>
  <c r="K13" i="1"/>
  <c r="K5" i="1"/>
  <c r="C44" i="1"/>
  <c r="D44" i="1" s="1"/>
  <c r="C40" i="1"/>
  <c r="D40" i="1" s="1"/>
  <c r="H40" i="1" s="1"/>
  <c r="C36" i="1"/>
  <c r="D36" i="1" s="1"/>
  <c r="K36" i="1" s="1"/>
  <c r="C32" i="1"/>
  <c r="D32" i="1" s="1"/>
  <c r="K32" i="1" s="1"/>
  <c r="C28" i="1"/>
  <c r="D28" i="1" s="1"/>
  <c r="K28" i="1" s="1"/>
  <c r="D45" i="1"/>
  <c r="J45" i="1" s="1"/>
  <c r="D37" i="1"/>
  <c r="L37" i="1" s="1"/>
  <c r="D29" i="1"/>
  <c r="K29" i="1" s="1"/>
  <c r="C23" i="1"/>
  <c r="D23" i="1" s="1"/>
  <c r="C25" i="1"/>
  <c r="D25" i="1" s="1"/>
  <c r="G45" i="1"/>
  <c r="G41" i="1"/>
  <c r="L51" i="1"/>
  <c r="L39" i="1"/>
  <c r="L20" i="1"/>
  <c r="L12" i="1"/>
  <c r="L19" i="1"/>
  <c r="L50" i="1"/>
  <c r="L18" i="1"/>
  <c r="L58" i="1"/>
  <c r="L17" i="1"/>
  <c r="L57" i="1"/>
  <c r="L53" i="1"/>
  <c r="L49" i="1"/>
  <c r="L43" i="1"/>
  <c r="L35" i="1"/>
  <c r="L27" i="1"/>
  <c r="L16" i="1"/>
  <c r="L8" i="1"/>
  <c r="L3" i="1"/>
  <c r="L15" i="1"/>
  <c r="L7" i="1"/>
  <c r="L55" i="1"/>
  <c r="L47" i="1"/>
  <c r="L31" i="1"/>
  <c r="L4" i="1"/>
  <c r="L11" i="1"/>
  <c r="L54" i="1"/>
  <c r="L10" i="1"/>
  <c r="L9" i="1"/>
  <c r="L56" i="1"/>
  <c r="L52" i="1"/>
  <c r="L48" i="1"/>
  <c r="L41" i="1"/>
  <c r="L33" i="1"/>
  <c r="L22" i="1"/>
  <c r="L14" i="1"/>
  <c r="L6" i="1"/>
  <c r="L21" i="1"/>
  <c r="L13" i="1"/>
  <c r="L5" i="1"/>
  <c r="J3" i="1"/>
  <c r="G46" i="1"/>
  <c r="G38" i="1"/>
  <c r="G30" i="1"/>
  <c r="G42" i="1"/>
  <c r="G34" i="1"/>
  <c r="G26" i="1"/>
  <c r="D46" i="1"/>
  <c r="D42" i="1"/>
  <c r="D38" i="1"/>
  <c r="D34" i="1"/>
  <c r="D30" i="1"/>
  <c r="D26" i="1"/>
  <c r="I57" i="1"/>
  <c r="J57" i="1"/>
  <c r="H57" i="1"/>
  <c r="I54" i="1"/>
  <c r="J54" i="1"/>
  <c r="H54" i="1"/>
  <c r="I51" i="1"/>
  <c r="J51" i="1"/>
  <c r="H51" i="1"/>
  <c r="I47" i="1"/>
  <c r="J47" i="1"/>
  <c r="H47" i="1"/>
  <c r="I13" i="1"/>
  <c r="J13" i="1"/>
  <c r="H13" i="1"/>
  <c r="I10" i="1"/>
  <c r="J10" i="1"/>
  <c r="H10" i="1"/>
  <c r="I9" i="1"/>
  <c r="J9" i="1"/>
  <c r="H9" i="1"/>
  <c r="I6" i="1"/>
  <c r="J6" i="1"/>
  <c r="H6" i="1"/>
  <c r="D24" i="1"/>
  <c r="I56" i="1"/>
  <c r="J56" i="1"/>
  <c r="H56" i="1"/>
  <c r="I55" i="1"/>
  <c r="J55" i="1"/>
  <c r="H55" i="1"/>
  <c r="I53" i="1"/>
  <c r="J53" i="1"/>
  <c r="H53" i="1"/>
  <c r="G51" i="1"/>
  <c r="I50" i="1"/>
  <c r="J50" i="1"/>
  <c r="H50" i="1"/>
  <c r="I48" i="1"/>
  <c r="J48" i="1"/>
  <c r="H48" i="1"/>
  <c r="I41" i="1"/>
  <c r="J41" i="1"/>
  <c r="H41" i="1"/>
  <c r="I33" i="1"/>
  <c r="J33" i="1"/>
  <c r="H33" i="1"/>
  <c r="I20" i="1"/>
  <c r="J20" i="1"/>
  <c r="H20" i="1"/>
  <c r="I19" i="1"/>
  <c r="J19" i="1"/>
  <c r="H19" i="1"/>
  <c r="I16" i="1"/>
  <c r="J16" i="1"/>
  <c r="H16" i="1"/>
  <c r="I15" i="1"/>
  <c r="J15" i="1"/>
  <c r="H15" i="1"/>
  <c r="G13" i="1"/>
  <c r="I12" i="1"/>
  <c r="J12" i="1"/>
  <c r="H12" i="1"/>
  <c r="I11" i="1"/>
  <c r="J11" i="1"/>
  <c r="H11" i="1"/>
  <c r="G9" i="1"/>
  <c r="I8" i="1"/>
  <c r="J8" i="1"/>
  <c r="H8" i="1"/>
  <c r="I7" i="1"/>
  <c r="J7" i="1"/>
  <c r="H7" i="1"/>
  <c r="I4" i="1"/>
  <c r="J4" i="1"/>
  <c r="H4" i="1"/>
  <c r="H3" i="1"/>
  <c r="I3" i="1"/>
  <c r="I52" i="1"/>
  <c r="J52" i="1"/>
  <c r="H52" i="1"/>
  <c r="I49" i="1"/>
  <c r="J49" i="1"/>
  <c r="H49" i="1"/>
  <c r="I43" i="1"/>
  <c r="J43" i="1"/>
  <c r="H43" i="1"/>
  <c r="I39" i="1"/>
  <c r="J39" i="1"/>
  <c r="H39" i="1"/>
  <c r="I35" i="1"/>
  <c r="J35" i="1"/>
  <c r="H35" i="1"/>
  <c r="I31" i="1"/>
  <c r="J31" i="1"/>
  <c r="H31" i="1"/>
  <c r="I27" i="1"/>
  <c r="J27" i="1"/>
  <c r="H27" i="1"/>
  <c r="I22" i="1"/>
  <c r="J22" i="1"/>
  <c r="H22" i="1"/>
  <c r="I21" i="1"/>
  <c r="J21" i="1"/>
  <c r="H21" i="1"/>
  <c r="I18" i="1"/>
  <c r="J18" i="1"/>
  <c r="H18" i="1"/>
  <c r="I17" i="1"/>
  <c r="J17" i="1"/>
  <c r="H17" i="1"/>
  <c r="I14" i="1"/>
  <c r="J14" i="1"/>
  <c r="H14" i="1"/>
  <c r="I5" i="1"/>
  <c r="J5" i="1"/>
  <c r="H5" i="1"/>
  <c r="I58" i="1"/>
  <c r="J58" i="1"/>
  <c r="H58" i="1"/>
  <c r="J32" i="1" l="1"/>
  <c r="I32" i="1"/>
  <c r="L44" i="1"/>
  <c r="K44" i="1"/>
  <c r="H44" i="1"/>
  <c r="I44" i="1"/>
  <c r="J44" i="1"/>
  <c r="K25" i="1"/>
  <c r="H25" i="1"/>
  <c r="L34" i="1"/>
  <c r="K34" i="1"/>
  <c r="J36" i="1"/>
  <c r="H29" i="1"/>
  <c r="L38" i="1"/>
  <c r="K38" i="1"/>
  <c r="J37" i="1"/>
  <c r="K37" i="1"/>
  <c r="L40" i="1"/>
  <c r="K40" i="1"/>
  <c r="I40" i="1"/>
  <c r="J29" i="1"/>
  <c r="J24" i="1"/>
  <c r="K24" i="1"/>
  <c r="L26" i="1"/>
  <c r="K26" i="1"/>
  <c r="L42" i="1"/>
  <c r="K42" i="1"/>
  <c r="L45" i="1"/>
  <c r="K45" i="1"/>
  <c r="H32" i="1"/>
  <c r="H24" i="1"/>
  <c r="I29" i="1"/>
  <c r="I45" i="1"/>
  <c r="L30" i="1"/>
  <c r="K30" i="1"/>
  <c r="L46" i="1"/>
  <c r="K46" i="1"/>
  <c r="L29" i="1"/>
  <c r="L36" i="1"/>
  <c r="H23" i="1"/>
  <c r="K23" i="1"/>
  <c r="L28" i="1"/>
  <c r="J28" i="1"/>
  <c r="H28" i="1"/>
  <c r="I28" i="1"/>
  <c r="I36" i="1"/>
  <c r="H36" i="1"/>
  <c r="I37" i="1"/>
  <c r="H45" i="1"/>
  <c r="H37" i="1"/>
  <c r="J40" i="1"/>
  <c r="I46" i="1"/>
  <c r="I25" i="1"/>
  <c r="L25" i="1"/>
  <c r="J25" i="1"/>
  <c r="I23" i="1"/>
  <c r="L23" i="1"/>
  <c r="J23" i="1"/>
  <c r="L32" i="1"/>
  <c r="H46" i="1"/>
  <c r="I24" i="1"/>
  <c r="I30" i="1"/>
  <c r="H30" i="1"/>
  <c r="H38" i="1"/>
  <c r="I38" i="1"/>
  <c r="L24" i="1"/>
  <c r="I26" i="1"/>
  <c r="I34" i="1"/>
  <c r="I42" i="1"/>
  <c r="J26" i="1"/>
  <c r="J34" i="1"/>
  <c r="J42" i="1"/>
  <c r="G60" i="1"/>
  <c r="H26" i="1"/>
  <c r="H34" i="1"/>
  <c r="H42" i="1"/>
  <c r="J30" i="1"/>
  <c r="J38" i="1"/>
  <c r="J46" i="1"/>
  <c r="L60" i="1" l="1"/>
  <c r="L61" i="1" s="1"/>
  <c r="J60" i="1"/>
  <c r="J61" i="1" s="1"/>
  <c r="I60" i="1"/>
  <c r="I61" i="1" s="1"/>
  <c r="K60" i="1"/>
  <c r="K61" i="1" s="1"/>
  <c r="H60" i="1"/>
  <c r="H61" i="1" s="1"/>
  <c r="H18" i="18" l="1"/>
  <c r="D32" i="18"/>
  <c r="R5" i="19"/>
  <c r="J11" i="18"/>
  <c r="I17" i="18" s="1"/>
  <c r="P69" i="19" l="1"/>
  <c r="H10" i="18"/>
  <c r="H11" i="18" s="1"/>
  <c r="R7" i="19"/>
  <c r="F16" i="18"/>
  <c r="F21" i="18"/>
  <c r="G11" i="19" l="1"/>
  <c r="H11" i="19" s="1"/>
  <c r="G15" i="19"/>
  <c r="H15" i="19" s="1"/>
  <c r="G19" i="19"/>
  <c r="H19" i="19" s="1"/>
  <c r="G23" i="19"/>
  <c r="H23" i="19" s="1"/>
  <c r="G27" i="19"/>
  <c r="H27" i="19" s="1"/>
  <c r="G31" i="19"/>
  <c r="H31" i="19" s="1"/>
  <c r="G35" i="19"/>
  <c r="H35" i="19" s="1"/>
  <c r="G39" i="19"/>
  <c r="G43" i="19"/>
  <c r="H43" i="19" s="1"/>
  <c r="G47" i="19"/>
  <c r="G51" i="19"/>
  <c r="H51" i="19" s="1"/>
  <c r="G55" i="19"/>
  <c r="G59" i="19"/>
  <c r="G63" i="19"/>
  <c r="G22" i="19"/>
  <c r="H22" i="19" s="1"/>
  <c r="G34" i="19"/>
  <c r="G54" i="19"/>
  <c r="G10" i="19"/>
  <c r="H10" i="19" s="1"/>
  <c r="G12" i="19"/>
  <c r="H12" i="19" s="1"/>
  <c r="G16" i="19"/>
  <c r="H16" i="19" s="1"/>
  <c r="G20" i="19"/>
  <c r="H20" i="19" s="1"/>
  <c r="G24" i="19"/>
  <c r="H24" i="19" s="1"/>
  <c r="G28" i="19"/>
  <c r="H28" i="19" s="1"/>
  <c r="G32" i="19"/>
  <c r="H32" i="19" s="1"/>
  <c r="G36" i="19"/>
  <c r="G40" i="19"/>
  <c r="G44" i="19"/>
  <c r="H44" i="19" s="1"/>
  <c r="G48" i="19"/>
  <c r="G52" i="19"/>
  <c r="H52" i="19" s="1"/>
  <c r="G56" i="19"/>
  <c r="G60" i="19"/>
  <c r="G64" i="19"/>
  <c r="G14" i="19"/>
  <c r="H14" i="19" s="1"/>
  <c r="G26" i="19"/>
  <c r="H26" i="19" s="1"/>
  <c r="G42" i="19"/>
  <c r="H42" i="19" s="1"/>
  <c r="G50" i="19"/>
  <c r="G58" i="19"/>
  <c r="G13" i="19"/>
  <c r="H13" i="19" s="1"/>
  <c r="G17" i="19"/>
  <c r="H17" i="19" s="1"/>
  <c r="G21" i="19"/>
  <c r="H21" i="19" s="1"/>
  <c r="G25" i="19"/>
  <c r="H25" i="19" s="1"/>
  <c r="G29" i="19"/>
  <c r="G33" i="19"/>
  <c r="H33" i="19" s="1"/>
  <c r="G37" i="19"/>
  <c r="H37" i="19" s="1"/>
  <c r="G41" i="19"/>
  <c r="H41" i="19" s="1"/>
  <c r="G45" i="19"/>
  <c r="H45" i="19" s="1"/>
  <c r="G49" i="19"/>
  <c r="G53" i="19"/>
  <c r="H53" i="19" s="1"/>
  <c r="G57" i="19"/>
  <c r="G61" i="19"/>
  <c r="G65" i="19"/>
  <c r="G18" i="19"/>
  <c r="H18" i="19" s="1"/>
  <c r="G30" i="19"/>
  <c r="H30" i="19" s="1"/>
  <c r="G38" i="19"/>
  <c r="H38" i="19" s="1"/>
  <c r="G46" i="19"/>
  <c r="H46" i="19" s="1"/>
  <c r="G62" i="19"/>
  <c r="J21" i="18"/>
  <c r="J23" i="18" s="1"/>
  <c r="G23" i="18" s="1"/>
  <c r="J26" i="18" s="1"/>
  <c r="H60" i="19"/>
  <c r="H54" i="19"/>
  <c r="H61" i="19"/>
  <c r="H57" i="19"/>
  <c r="H65" i="19"/>
  <c r="I18" i="19" l="1"/>
  <c r="F18" i="19"/>
  <c r="J18" i="19" s="1"/>
  <c r="Q18" i="19" s="1"/>
  <c r="F21" i="19"/>
  <c r="J21" i="19" s="1"/>
  <c r="Q21" i="19" s="1"/>
  <c r="I21" i="19"/>
  <c r="I16" i="19"/>
  <c r="F16" i="19"/>
  <c r="J16" i="19" s="1"/>
  <c r="Q16" i="19" s="1"/>
  <c r="I23" i="19"/>
  <c r="F23" i="19"/>
  <c r="J23" i="19" s="1"/>
  <c r="Q23" i="19" s="1"/>
  <c r="F17" i="19"/>
  <c r="J17" i="19" s="1"/>
  <c r="Q17" i="19" s="1"/>
  <c r="I17" i="19"/>
  <c r="I12" i="19"/>
  <c r="F12" i="19"/>
  <c r="J12" i="19" s="1"/>
  <c r="Q12" i="19" s="1"/>
  <c r="I22" i="19"/>
  <c r="F22" i="19"/>
  <c r="J22" i="19" s="1"/>
  <c r="Q22" i="19" s="1"/>
  <c r="I19" i="19"/>
  <c r="F19" i="19"/>
  <c r="J19" i="19" s="1"/>
  <c r="Q19" i="19" s="1"/>
  <c r="I13" i="19"/>
  <c r="F13" i="19"/>
  <c r="J13" i="19" s="1"/>
  <c r="Q13" i="19" s="1"/>
  <c r="I24" i="19"/>
  <c r="F24" i="19"/>
  <c r="J24" i="19" s="1"/>
  <c r="Q24" i="19" s="1"/>
  <c r="I10" i="19"/>
  <c r="F10" i="19"/>
  <c r="J10" i="19" s="1"/>
  <c r="Q10" i="19" s="1"/>
  <c r="I15" i="19"/>
  <c r="F15" i="19"/>
  <c r="J15" i="19" s="1"/>
  <c r="Q15" i="19" s="1"/>
  <c r="I25" i="19"/>
  <c r="F25" i="19"/>
  <c r="J25" i="19" s="1"/>
  <c r="Q25" i="19" s="1"/>
  <c r="I14" i="19"/>
  <c r="F14" i="19"/>
  <c r="J14" i="19" s="1"/>
  <c r="Q14" i="19" s="1"/>
  <c r="I20" i="19"/>
  <c r="F20" i="19"/>
  <c r="J20" i="19" s="1"/>
  <c r="Q20" i="19" s="1"/>
  <c r="I11" i="19"/>
  <c r="F11" i="19"/>
  <c r="J11" i="19" s="1"/>
  <c r="Q11" i="19" s="1"/>
  <c r="H63" i="19"/>
  <c r="H56" i="19"/>
  <c r="H39" i="19"/>
  <c r="H34" i="19"/>
  <c r="H29" i="19"/>
  <c r="H58" i="19"/>
  <c r="H50" i="19"/>
  <c r="H47" i="19"/>
  <c r="H62" i="19"/>
  <c r="H49" i="19"/>
  <c r="H48" i="19"/>
  <c r="H40" i="19"/>
  <c r="H59" i="19"/>
  <c r="H64" i="19"/>
  <c r="H36" i="19"/>
  <c r="H55" i="19"/>
  <c r="P78" i="19"/>
  <c r="P75" i="19"/>
  <c r="P76" i="19"/>
  <c r="R69" i="19"/>
  <c r="N11" i="19" l="1"/>
  <c r="N14" i="19"/>
  <c r="N15" i="19"/>
  <c r="N24" i="19"/>
  <c r="N19" i="19"/>
  <c r="N12" i="19"/>
  <c r="N23" i="19"/>
  <c r="N21" i="19"/>
  <c r="N20" i="19"/>
  <c r="N25" i="19"/>
  <c r="N10" i="19"/>
  <c r="N13" i="19"/>
  <c r="N22" i="19"/>
  <c r="N16" i="19"/>
  <c r="N18" i="19"/>
  <c r="N17" i="19"/>
  <c r="O11" i="19"/>
  <c r="O14" i="19"/>
  <c r="O15" i="19"/>
  <c r="O24" i="19"/>
  <c r="O19" i="19"/>
  <c r="O12" i="19"/>
  <c r="O23" i="19"/>
  <c r="O21" i="19"/>
  <c r="O20" i="19"/>
  <c r="O25" i="19"/>
  <c r="O10" i="19"/>
  <c r="O13" i="19"/>
  <c r="O22" i="19"/>
  <c r="O16" i="19"/>
  <c r="O18" i="19"/>
  <c r="O17" i="19"/>
  <c r="L11" i="19"/>
  <c r="L14" i="19"/>
  <c r="L15" i="19"/>
  <c r="L24" i="19"/>
  <c r="L19" i="19"/>
  <c r="L12" i="19"/>
  <c r="L23" i="19"/>
  <c r="L21" i="19"/>
  <c r="L20" i="19"/>
  <c r="L25" i="19"/>
  <c r="L10" i="19"/>
  <c r="M10" i="19" s="1"/>
  <c r="L13" i="19"/>
  <c r="L22" i="19"/>
  <c r="L16" i="19"/>
  <c r="L18" i="19"/>
  <c r="L17" i="19"/>
  <c r="P77" i="19"/>
  <c r="N82" i="19"/>
  <c r="N84" i="19"/>
  <c r="M16" i="19" l="1"/>
  <c r="M12" i="19"/>
  <c r="M14" i="19"/>
  <c r="M22" i="19"/>
  <c r="M19" i="19"/>
  <c r="M17" i="19"/>
  <c r="M13" i="19"/>
  <c r="M21" i="19"/>
  <c r="M24" i="19"/>
  <c r="M20" i="19"/>
  <c r="M11" i="19"/>
  <c r="M18" i="19"/>
  <c r="M23" i="19"/>
  <c r="M15" i="19"/>
  <c r="M25" i="19"/>
  <c r="P18" i="19"/>
  <c r="P10" i="19"/>
  <c r="P23" i="19"/>
  <c r="P15" i="19"/>
  <c r="P16" i="19"/>
  <c r="P25" i="19"/>
  <c r="P12" i="19"/>
  <c r="P14" i="19"/>
  <c r="P22" i="19"/>
  <c r="P20" i="19"/>
  <c r="P19" i="19"/>
  <c r="P11" i="19"/>
  <c r="P13" i="19"/>
  <c r="P17" i="19"/>
  <c r="P24" i="19"/>
  <c r="P21" i="19"/>
  <c r="X10" i="19"/>
  <c r="O79" i="19"/>
  <c r="N79" i="19" s="1"/>
  <c r="N80" i="19" s="1"/>
  <c r="N81" i="19" s="1"/>
  <c r="P74" i="19"/>
  <c r="Q68" i="19"/>
  <c r="O74" i="19"/>
  <c r="O80" i="19" l="1"/>
  <c r="O81" i="19" s="1"/>
  <c r="O82" i="19" s="1"/>
  <c r="I32" i="19" l="1"/>
  <c r="I31" i="19"/>
  <c r="I55" i="19"/>
  <c r="I44" i="19"/>
  <c r="I28" i="19"/>
  <c r="I54" i="19"/>
  <c r="I43" i="19"/>
  <c r="I47" i="19"/>
  <c r="I50" i="19"/>
  <c r="I56" i="19"/>
  <c r="I46" i="19"/>
  <c r="I42" i="19"/>
  <c r="F28" i="19"/>
  <c r="J28" i="19" s="1"/>
  <c r="Q28" i="19" s="1"/>
  <c r="I51" i="19"/>
  <c r="I35" i="19"/>
  <c r="I59" i="19"/>
  <c r="I33" i="19"/>
  <c r="F57" i="19"/>
  <c r="I57" i="19"/>
  <c r="I52" i="19"/>
  <c r="I29" i="19"/>
  <c r="I45" i="19"/>
  <c r="I60" i="19"/>
  <c r="I48" i="19"/>
  <c r="G70" i="19"/>
  <c r="G71" i="19" s="1"/>
  <c r="I38" i="19"/>
  <c r="F52" i="19"/>
  <c r="F31" i="19"/>
  <c r="F60" i="19"/>
  <c r="F56" i="19"/>
  <c r="I65" i="19"/>
  <c r="F33" i="19"/>
  <c r="I34" i="19"/>
  <c r="I39" i="19"/>
  <c r="F62" i="19"/>
  <c r="I62" i="19"/>
  <c r="I30" i="19"/>
  <c r="I27" i="19"/>
  <c r="I58" i="19"/>
  <c r="I63" i="19"/>
  <c r="F50" i="19"/>
  <c r="I37" i="19"/>
  <c r="F36" i="19"/>
  <c r="I36" i="19"/>
  <c r="F58" i="19"/>
  <c r="F44" i="19"/>
  <c r="F63" i="19"/>
  <c r="F35" i="19"/>
  <c r="F37" i="19"/>
  <c r="F59" i="19"/>
  <c r="F61" i="19"/>
  <c r="I61" i="19"/>
  <c r="F54" i="19"/>
  <c r="F46" i="19"/>
  <c r="F34" i="19"/>
  <c r="F49" i="19"/>
  <c r="I49" i="19"/>
  <c r="F38" i="19"/>
  <c r="F55" i="19"/>
  <c r="F29" i="19"/>
  <c r="F48" i="19"/>
  <c r="J48" i="19" s="1"/>
  <c r="Q48" i="19" s="1"/>
  <c r="F40" i="19"/>
  <c r="I40" i="19"/>
  <c r="F30" i="19"/>
  <c r="F42" i="19"/>
  <c r="F65" i="19"/>
  <c r="F45" i="19"/>
  <c r="F43" i="19"/>
  <c r="F39" i="19"/>
  <c r="F64" i="19"/>
  <c r="I64" i="19"/>
  <c r="F53" i="19"/>
  <c r="I53" i="19"/>
  <c r="F27" i="19"/>
  <c r="J27" i="19" s="1"/>
  <c r="Q27" i="19" s="1"/>
  <c r="F51" i="19"/>
  <c r="J51" i="19" s="1"/>
  <c r="Q51" i="19" s="1"/>
  <c r="F47" i="19"/>
  <c r="F32" i="19"/>
  <c r="F26" i="19"/>
  <c r="I26" i="19"/>
  <c r="F41" i="19"/>
  <c r="I41" i="19"/>
  <c r="N28" i="19" l="1"/>
  <c r="N48" i="19"/>
  <c r="N51" i="19"/>
  <c r="N27" i="19"/>
  <c r="O28" i="19"/>
  <c r="O48" i="19"/>
  <c r="O51" i="19"/>
  <c r="O27" i="19"/>
  <c r="L28" i="19"/>
  <c r="L51" i="19"/>
  <c r="L48" i="19"/>
  <c r="L27" i="19"/>
  <c r="J32" i="19"/>
  <c r="Q32" i="19" s="1"/>
  <c r="J42" i="19"/>
  <c r="Q42" i="19" s="1"/>
  <c r="J46" i="19"/>
  <c r="Q46" i="19" s="1"/>
  <c r="J63" i="19"/>
  <c r="Q63" i="19" s="1"/>
  <c r="J60" i="19"/>
  <c r="Q60" i="19" s="1"/>
  <c r="J57" i="19"/>
  <c r="Q57" i="19" s="1"/>
  <c r="J64" i="19"/>
  <c r="Q64" i="19" s="1"/>
  <c r="J30" i="19"/>
  <c r="Q30" i="19" s="1"/>
  <c r="J29" i="19"/>
  <c r="Q29" i="19" s="1"/>
  <c r="J49" i="19"/>
  <c r="Q49" i="19" s="1"/>
  <c r="J54" i="19"/>
  <c r="Q54" i="19" s="1"/>
  <c r="J59" i="19"/>
  <c r="Q59" i="19" s="1"/>
  <c r="J44" i="19"/>
  <c r="Q44" i="19" s="1"/>
  <c r="J36" i="19"/>
  <c r="Q36" i="19" s="1"/>
  <c r="J50" i="19"/>
  <c r="Q50" i="19" s="1"/>
  <c r="J31" i="19"/>
  <c r="Q31" i="19" s="1"/>
  <c r="J55" i="19"/>
  <c r="Q55" i="19" s="1"/>
  <c r="J37" i="19"/>
  <c r="Q37" i="19" s="1"/>
  <c r="J58" i="19"/>
  <c r="Q58" i="19" s="1"/>
  <c r="J62" i="19"/>
  <c r="Q62" i="19" s="1"/>
  <c r="J52" i="19"/>
  <c r="Q52" i="19" s="1"/>
  <c r="J41" i="19"/>
  <c r="Q41" i="19" s="1"/>
  <c r="J47" i="19"/>
  <c r="Q47" i="19" s="1"/>
  <c r="J45" i="19"/>
  <c r="Q45" i="19" s="1"/>
  <c r="F70" i="19"/>
  <c r="F71" i="19" s="1"/>
  <c r="J26" i="19"/>
  <c r="Q26" i="19" s="1"/>
  <c r="J43" i="19"/>
  <c r="Q43" i="19" s="1"/>
  <c r="J53" i="19"/>
  <c r="Q53" i="19" s="1"/>
  <c r="J39" i="19"/>
  <c r="Q39" i="19" s="1"/>
  <c r="J65" i="19"/>
  <c r="Q65" i="19" s="1"/>
  <c r="J40" i="19"/>
  <c r="Q40" i="19" s="1"/>
  <c r="J38" i="19"/>
  <c r="Q38" i="19" s="1"/>
  <c r="J34" i="19"/>
  <c r="Q34" i="19" s="1"/>
  <c r="J61" i="19"/>
  <c r="Q61" i="19" s="1"/>
  <c r="J35" i="19"/>
  <c r="Q35" i="19" s="1"/>
  <c r="J33" i="19"/>
  <c r="Q33" i="19" s="1"/>
  <c r="J56" i="19"/>
  <c r="Q56" i="19" s="1"/>
  <c r="P48" i="19" l="1"/>
  <c r="P51" i="19"/>
  <c r="P27" i="19"/>
  <c r="P28" i="19"/>
  <c r="N56" i="19"/>
  <c r="N34" i="19"/>
  <c r="N39" i="19"/>
  <c r="N33" i="19"/>
  <c r="N38" i="19"/>
  <c r="N53" i="19"/>
  <c r="N45" i="19"/>
  <c r="N62" i="19"/>
  <c r="N31" i="19"/>
  <c r="N59" i="19"/>
  <c r="N30" i="19"/>
  <c r="N63" i="19"/>
  <c r="N35" i="19"/>
  <c r="N40" i="19"/>
  <c r="N43" i="19"/>
  <c r="N47" i="19"/>
  <c r="N58" i="19"/>
  <c r="N50" i="19"/>
  <c r="N54" i="19"/>
  <c r="N64" i="19"/>
  <c r="N46" i="19"/>
  <c r="N61" i="19"/>
  <c r="N65" i="19"/>
  <c r="N26" i="19"/>
  <c r="N41" i="19"/>
  <c r="N37" i="19"/>
  <c r="N36" i="19"/>
  <c r="N49" i="19"/>
  <c r="N57" i="19"/>
  <c r="N42" i="19"/>
  <c r="N52" i="19"/>
  <c r="N55" i="19"/>
  <c r="N44" i="19"/>
  <c r="N29" i="19"/>
  <c r="N60" i="19"/>
  <c r="N32" i="19"/>
  <c r="M51" i="19"/>
  <c r="X51" i="19" s="1"/>
  <c r="M27" i="19"/>
  <c r="X27" i="19" s="1"/>
  <c r="O44" i="19"/>
  <c r="O33" i="19"/>
  <c r="O38" i="19"/>
  <c r="O53" i="19"/>
  <c r="O45" i="19"/>
  <c r="O52" i="19"/>
  <c r="O37" i="19"/>
  <c r="O31" i="19"/>
  <c r="O59" i="19"/>
  <c r="O30" i="19"/>
  <c r="O60" i="19"/>
  <c r="O32" i="19"/>
  <c r="O55" i="19"/>
  <c r="O50" i="19"/>
  <c r="O54" i="19"/>
  <c r="O64" i="19"/>
  <c r="O63" i="19"/>
  <c r="O35" i="19"/>
  <c r="O40" i="19"/>
  <c r="O43" i="19"/>
  <c r="O47" i="19"/>
  <c r="O61" i="19"/>
  <c r="O65" i="19"/>
  <c r="O26" i="19"/>
  <c r="O41" i="19"/>
  <c r="O62" i="19"/>
  <c r="O36" i="19"/>
  <c r="O49" i="19"/>
  <c r="O57" i="19"/>
  <c r="O46" i="19"/>
  <c r="O56" i="19"/>
  <c r="O34" i="19"/>
  <c r="O39" i="19"/>
  <c r="O58" i="19"/>
  <c r="O29" i="19"/>
  <c r="O42" i="19"/>
  <c r="M28" i="19"/>
  <c r="X28" i="19" s="1"/>
  <c r="L61" i="19"/>
  <c r="L40" i="19"/>
  <c r="L45" i="19"/>
  <c r="L57" i="19"/>
  <c r="L56" i="19"/>
  <c r="L65" i="19"/>
  <c r="L58" i="19"/>
  <c r="L59" i="19"/>
  <c r="L30" i="19"/>
  <c r="L63" i="19"/>
  <c r="L38" i="19"/>
  <c r="L39" i="19"/>
  <c r="L41" i="19"/>
  <c r="L37" i="19"/>
  <c r="L50" i="19"/>
  <c r="L46" i="19"/>
  <c r="L35" i="19"/>
  <c r="L36" i="19"/>
  <c r="L49" i="19"/>
  <c r="L60" i="19"/>
  <c r="L42" i="19"/>
  <c r="M48" i="19"/>
  <c r="X48" i="19" s="1"/>
  <c r="L31" i="19"/>
  <c r="L44" i="19"/>
  <c r="L29" i="19"/>
  <c r="L33" i="19"/>
  <c r="L34" i="19"/>
  <c r="L62" i="19"/>
  <c r="L55" i="19"/>
  <c r="L43" i="19"/>
  <c r="L47" i="19"/>
  <c r="L52" i="19"/>
  <c r="L54" i="19"/>
  <c r="L64" i="19"/>
  <c r="L32" i="19"/>
  <c r="L53" i="19"/>
  <c r="L26" i="19"/>
  <c r="P43" i="19" l="1"/>
  <c r="P36" i="19"/>
  <c r="M37" i="19"/>
  <c r="X37" i="19" s="1"/>
  <c r="P37" i="19"/>
  <c r="P63" i="19"/>
  <c r="P65" i="19"/>
  <c r="P45" i="19"/>
  <c r="P56" i="19"/>
  <c r="P64" i="19"/>
  <c r="M26" i="19"/>
  <c r="X26" i="19" s="1"/>
  <c r="P26" i="19"/>
  <c r="P55" i="19"/>
  <c r="P42" i="19"/>
  <c r="P41" i="19"/>
  <c r="P40" i="19"/>
  <c r="P52" i="19"/>
  <c r="P44" i="19"/>
  <c r="M60" i="19"/>
  <c r="X60" i="19" s="1"/>
  <c r="P60" i="19"/>
  <c r="P61" i="19"/>
  <c r="P33" i="19"/>
  <c r="P54" i="19"/>
  <c r="P29" i="19"/>
  <c r="P35" i="19"/>
  <c r="P30" i="19"/>
  <c r="P53" i="19"/>
  <c r="P62" i="19"/>
  <c r="P46" i="19"/>
  <c r="P39" i="19"/>
  <c r="P59" i="19"/>
  <c r="P32" i="19"/>
  <c r="P47" i="19"/>
  <c r="P34" i="19"/>
  <c r="P31" i="19"/>
  <c r="P49" i="19"/>
  <c r="M50" i="19"/>
  <c r="X50" i="19" s="1"/>
  <c r="P50" i="19"/>
  <c r="P38" i="19"/>
  <c r="P58" i="19"/>
  <c r="P57" i="19"/>
  <c r="M65" i="19"/>
  <c r="X65" i="19" s="1"/>
  <c r="M35" i="19"/>
  <c r="X35" i="19" s="1"/>
  <c r="M41" i="19"/>
  <c r="X41" i="19" s="1"/>
  <c r="M29" i="19"/>
  <c r="X29" i="19" s="1"/>
  <c r="M63" i="19"/>
  <c r="X63" i="19" s="1"/>
  <c r="M59" i="19"/>
  <c r="X59" i="19" s="1"/>
  <c r="M54" i="19"/>
  <c r="X54" i="19" s="1"/>
  <c r="M36" i="19"/>
  <c r="X36" i="19" s="1"/>
  <c r="M31" i="19"/>
  <c r="X31" i="19" s="1"/>
  <c r="M30" i="19"/>
  <c r="X30" i="19" s="1"/>
  <c r="M58" i="19"/>
  <c r="X58" i="19" s="1"/>
  <c r="Q69" i="19"/>
  <c r="M40" i="19"/>
  <c r="X40" i="19" s="1"/>
  <c r="P68" i="19"/>
  <c r="M32" i="19"/>
  <c r="X32" i="19" s="1"/>
  <c r="M49" i="19"/>
  <c r="X49" i="19" s="1"/>
  <c r="M46" i="19"/>
  <c r="X46" i="19" s="1"/>
  <c r="M62" i="19"/>
  <c r="X62" i="19" s="1"/>
  <c r="M47" i="19"/>
  <c r="X47" i="19" s="1"/>
  <c r="M42" i="19"/>
  <c r="X42" i="19" s="1"/>
  <c r="M64" i="19"/>
  <c r="X64" i="19" s="1"/>
  <c r="M55" i="19"/>
  <c r="X55" i="19" s="1"/>
  <c r="M52" i="19"/>
  <c r="X52" i="19" s="1"/>
  <c r="AC28" i="19"/>
  <c r="AC29" i="19" s="1"/>
  <c r="M34" i="19"/>
  <c r="X34" i="19" s="1"/>
  <c r="M53" i="19"/>
  <c r="X53" i="19" s="1"/>
  <c r="M61" i="19"/>
  <c r="X61" i="19" s="1"/>
  <c r="AE28" i="19"/>
  <c r="AE29" i="19" s="1"/>
  <c r="R68" i="19"/>
  <c r="S68" i="19" s="1"/>
  <c r="Q67" i="19"/>
  <c r="Q70" i="19"/>
  <c r="Q71" i="19" s="1"/>
  <c r="AF28" i="19"/>
  <c r="AF29" i="19" s="1"/>
  <c r="N70" i="19"/>
  <c r="N71" i="19" s="1"/>
  <c r="AF37" i="19"/>
  <c r="AF38" i="19" s="1"/>
  <c r="O70" i="19"/>
  <c r="O71" i="19" s="1"/>
  <c r="AE37" i="19"/>
  <c r="AE38" i="19" s="1"/>
  <c r="M43" i="19"/>
  <c r="X43" i="19" s="1"/>
  <c r="L70" i="19"/>
  <c r="L71" i="19" s="1"/>
  <c r="L72" i="19" s="1"/>
  <c r="L8" i="19" s="1"/>
  <c r="AC37" i="19"/>
  <c r="AC38" i="19" s="1"/>
  <c r="M38" i="19"/>
  <c r="X38" i="19" s="1"/>
  <c r="M56" i="19"/>
  <c r="X56" i="19" s="1"/>
  <c r="M57" i="19"/>
  <c r="X57" i="19" s="1"/>
  <c r="M33" i="19"/>
  <c r="X33" i="19" s="1"/>
  <c r="M39" i="19"/>
  <c r="X39" i="19" s="1"/>
  <c r="AD37" i="19"/>
  <c r="AD38" i="19" s="1"/>
  <c r="M44" i="19"/>
  <c r="X44" i="19" s="1"/>
  <c r="AD28" i="19"/>
  <c r="AD29" i="19" s="1"/>
  <c r="M45" i="19"/>
  <c r="X45" i="19" s="1"/>
  <c r="AC39" i="19" l="1"/>
  <c r="AC40" i="19" s="1"/>
  <c r="AE39" i="19"/>
  <c r="AF39" i="19"/>
  <c r="N72" i="19"/>
  <c r="N8" i="19" s="1"/>
  <c r="Q72" i="19"/>
  <c r="Q8" i="19" s="1"/>
  <c r="M70" i="19"/>
  <c r="M71" i="19" s="1"/>
  <c r="M72" i="19" s="1"/>
  <c r="O72" i="19"/>
  <c r="O8" i="19" s="1"/>
  <c r="AD39" i="19"/>
  <c r="P70" i="19"/>
  <c r="P71" i="19" s="1"/>
  <c r="P72" i="19" s="1"/>
  <c r="P8" i="19" s="1"/>
  <c r="H12" i="18" l="1"/>
  <c r="AE41" i="19"/>
  <c r="P7" i="19"/>
  <c r="AD40" i="19"/>
  <c r="AF41" i="19"/>
  <c r="M8" i="19"/>
  <c r="P73" i="19"/>
  <c r="H20" i="18" l="1"/>
  <c r="F24" i="18" s="1"/>
  <c r="R6" i="19" s="1"/>
  <c r="P9" i="19"/>
  <c r="U13" i="19" l="1"/>
  <c r="U25" i="19"/>
  <c r="U24" i="19"/>
  <c r="U20" i="19"/>
  <c r="U19" i="19"/>
  <c r="U14" i="19"/>
  <c r="U11" i="19"/>
  <c r="U16" i="19"/>
  <c r="U22" i="19"/>
  <c r="U15" i="19"/>
  <c r="U12" i="19"/>
  <c r="U18" i="19"/>
  <c r="U21" i="19"/>
  <c r="U17" i="19"/>
  <c r="U23" i="19"/>
  <c r="U27" i="19"/>
  <c r="U48" i="19"/>
  <c r="U28" i="19"/>
  <c r="U51" i="19"/>
  <c r="U26" i="19"/>
  <c r="U54" i="19"/>
  <c r="U62" i="19"/>
  <c r="U32" i="19"/>
  <c r="U49" i="19"/>
  <c r="U45" i="19"/>
  <c r="U53" i="19"/>
  <c r="U64" i="19"/>
  <c r="U37" i="19"/>
  <c r="U52" i="19"/>
  <c r="U58" i="19"/>
  <c r="U36" i="19"/>
  <c r="U42" i="19"/>
  <c r="U29" i="19"/>
  <c r="U60" i="19"/>
  <c r="U47" i="19"/>
  <c r="U50" i="19"/>
  <c r="U55" i="19"/>
  <c r="U44" i="19"/>
  <c r="U43" i="19"/>
  <c r="U63" i="19"/>
  <c r="U56" i="19"/>
  <c r="U39" i="19"/>
  <c r="U34" i="19"/>
  <c r="U35" i="19"/>
  <c r="U46" i="19"/>
  <c r="U65" i="19"/>
  <c r="U57" i="19"/>
  <c r="U59" i="19"/>
  <c r="U41" i="19"/>
  <c r="U38" i="19"/>
  <c r="U33" i="19"/>
  <c r="U61" i="19"/>
  <c r="U31" i="19"/>
  <c r="U30" i="19"/>
  <c r="U40" i="19"/>
  <c r="R11" i="19"/>
  <c r="V13" i="19"/>
  <c r="T16" i="19"/>
  <c r="R19" i="19"/>
  <c r="V21" i="19"/>
  <c r="T24" i="19"/>
  <c r="S23" i="19"/>
  <c r="W22" i="19"/>
  <c r="W13" i="19"/>
  <c r="W17" i="19"/>
  <c r="W23" i="19"/>
  <c r="S22" i="19"/>
  <c r="V12" i="19"/>
  <c r="T15" i="19"/>
  <c r="R18" i="19"/>
  <c r="V20" i="19"/>
  <c r="T23" i="19"/>
  <c r="S12" i="19"/>
  <c r="S16" i="19"/>
  <c r="W10" i="19"/>
  <c r="S24" i="19"/>
  <c r="V18" i="19"/>
  <c r="T21" i="19"/>
  <c r="W12" i="19"/>
  <c r="W16" i="19"/>
  <c r="T18" i="19"/>
  <c r="V23" i="19"/>
  <c r="W20" i="19"/>
  <c r="S21" i="19"/>
  <c r="R12" i="19"/>
  <c r="V22" i="19"/>
  <c r="W14" i="19"/>
  <c r="V11" i="19"/>
  <c r="T14" i="19"/>
  <c r="R17" i="19"/>
  <c r="V19" i="19"/>
  <c r="T22" i="19"/>
  <c r="R25" i="19"/>
  <c r="S25" i="19"/>
  <c r="S11" i="19"/>
  <c r="S15" i="19"/>
  <c r="S19" i="19"/>
  <c r="W25" i="19"/>
  <c r="T13" i="19"/>
  <c r="R16" i="19"/>
  <c r="R24" i="19"/>
  <c r="S10" i="19"/>
  <c r="W21" i="19"/>
  <c r="S17" i="19"/>
  <c r="V14" i="19"/>
  <c r="R20" i="19"/>
  <c r="T12" i="19"/>
  <c r="R15" i="19"/>
  <c r="V17" i="19"/>
  <c r="T20" i="19"/>
  <c r="R23" i="19"/>
  <c r="V25" i="19"/>
  <c r="W18" i="19"/>
  <c r="W11" i="19"/>
  <c r="W15" i="19"/>
  <c r="W19" i="19"/>
  <c r="S18" i="19"/>
  <c r="T11" i="19"/>
  <c r="R14" i="19"/>
  <c r="V16" i="19"/>
  <c r="T19" i="19"/>
  <c r="R22" i="19"/>
  <c r="V24" i="19"/>
  <c r="S14" i="19"/>
  <c r="W24" i="19"/>
  <c r="R10" i="19"/>
  <c r="U10" i="19"/>
  <c r="R13" i="19"/>
  <c r="V15" i="19"/>
  <c r="R21" i="19"/>
  <c r="S13" i="19"/>
  <c r="S20" i="19"/>
  <c r="T17" i="19"/>
  <c r="T25" i="19"/>
  <c r="T10" i="19"/>
  <c r="V10" i="19"/>
  <c r="R51" i="19"/>
  <c r="S27" i="19"/>
  <c r="W27" i="19"/>
  <c r="S28" i="19"/>
  <c r="T28" i="19"/>
  <c r="R28" i="19"/>
  <c r="W48" i="19"/>
  <c r="V27" i="19"/>
  <c r="V48" i="19"/>
  <c r="T48" i="19"/>
  <c r="S51" i="19"/>
  <c r="T51" i="19"/>
  <c r="T27" i="19"/>
  <c r="W51" i="19"/>
  <c r="R27" i="19"/>
  <c r="S48" i="19"/>
  <c r="W28" i="19"/>
  <c r="V28" i="19"/>
  <c r="R48" i="19"/>
  <c r="V51" i="19"/>
  <c r="W35" i="19"/>
  <c r="R35" i="19"/>
  <c r="V41" i="19"/>
  <c r="T35" i="19"/>
  <c r="T29" i="19"/>
  <c r="S63" i="19"/>
  <c r="R60" i="19"/>
  <c r="R54" i="19"/>
  <c r="T60" i="19"/>
  <c r="S50" i="19"/>
  <c r="T31" i="19"/>
  <c r="T55" i="19"/>
  <c r="V59" i="19"/>
  <c r="V31" i="19"/>
  <c r="R36" i="19"/>
  <c r="W59" i="19"/>
  <c r="R37" i="19"/>
  <c r="S54" i="19"/>
  <c r="T32" i="19"/>
  <c r="R42" i="19"/>
  <c r="W26" i="19"/>
  <c r="R29" i="19"/>
  <c r="W47" i="19"/>
  <c r="S58" i="19"/>
  <c r="V46" i="19"/>
  <c r="S37" i="19"/>
  <c r="S49" i="19"/>
  <c r="S62" i="19"/>
  <c r="S30" i="19"/>
  <c r="S46" i="19"/>
  <c r="R53" i="19"/>
  <c r="W34" i="19"/>
  <c r="T53" i="19"/>
  <c r="S64" i="19"/>
  <c r="V36" i="19"/>
  <c r="V52" i="19"/>
  <c r="V43" i="19"/>
  <c r="S38" i="19"/>
  <c r="W56" i="19"/>
  <c r="R57" i="19"/>
  <c r="T33" i="19"/>
  <c r="R39" i="19"/>
  <c r="S44" i="19"/>
  <c r="T45" i="19"/>
  <c r="V45" i="19"/>
  <c r="T58" i="19"/>
  <c r="T61" i="19"/>
  <c r="R61" i="19"/>
  <c r="W52" i="19"/>
  <c r="V34" i="19"/>
  <c r="S52" i="19"/>
  <c r="V49" i="19"/>
  <c r="V62" i="19"/>
  <c r="T43" i="19"/>
  <c r="S43" i="19"/>
  <c r="V38" i="19"/>
  <c r="V56" i="19"/>
  <c r="V57" i="19"/>
  <c r="S39" i="19"/>
  <c r="R44" i="19"/>
  <c r="W57" i="19"/>
  <c r="T39" i="19"/>
  <c r="R52" i="19"/>
  <c r="W46" i="19"/>
  <c r="S35" i="19"/>
  <c r="T37" i="19"/>
  <c r="S60" i="19"/>
  <c r="T59" i="19"/>
  <c r="S32" i="19"/>
  <c r="R46" i="19"/>
  <c r="V47" i="19"/>
  <c r="W64" i="19"/>
  <c r="R62" i="19"/>
  <c r="R63" i="19"/>
  <c r="T63" i="19"/>
  <c r="V29" i="19"/>
  <c r="W63" i="19"/>
  <c r="V65" i="19"/>
  <c r="S41" i="19"/>
  <c r="R58" i="19"/>
  <c r="S31" i="19"/>
  <c r="V37" i="19"/>
  <c r="R50" i="19"/>
  <c r="S36" i="19"/>
  <c r="S61" i="19"/>
  <c r="T54" i="19"/>
  <c r="T34" i="19"/>
  <c r="V32" i="19"/>
  <c r="V54" i="19"/>
  <c r="S55" i="19"/>
  <c r="W37" i="19"/>
  <c r="R30" i="19"/>
  <c r="T52" i="19"/>
  <c r="T46" i="19"/>
  <c r="T62" i="19"/>
  <c r="W58" i="19"/>
  <c r="W38" i="19"/>
  <c r="T57" i="19"/>
  <c r="R33" i="19"/>
  <c r="T44" i="19"/>
  <c r="W45" i="19"/>
  <c r="V39" i="19"/>
  <c r="T30" i="19"/>
  <c r="R65" i="19"/>
  <c r="T41" i="19"/>
  <c r="T50" i="19"/>
  <c r="W32" i="19"/>
  <c r="W49" i="19"/>
  <c r="R26" i="19"/>
  <c r="W36" i="19"/>
  <c r="W65" i="19"/>
  <c r="V53" i="19"/>
  <c r="T49" i="19"/>
  <c r="V58" i="19"/>
  <c r="W41" i="19"/>
  <c r="V63" i="19"/>
  <c r="T65" i="19"/>
  <c r="V35" i="19"/>
  <c r="S65" i="19"/>
  <c r="S34" i="19"/>
  <c r="S59" i="19"/>
  <c r="T36" i="19"/>
  <c r="V60" i="19"/>
  <c r="R47" i="19"/>
  <c r="W50" i="19"/>
  <c r="R59" i="19"/>
  <c r="V50" i="19"/>
  <c r="S53" i="19"/>
  <c r="T26" i="19"/>
  <c r="V40" i="19"/>
  <c r="W54" i="19"/>
  <c r="S26" i="19"/>
  <c r="W62" i="19"/>
  <c r="R49" i="19"/>
  <c r="V42" i="19"/>
  <c r="R32" i="19"/>
  <c r="T47" i="19"/>
  <c r="T42" i="19"/>
  <c r="S47" i="19"/>
  <c r="S42" i="19"/>
  <c r="R34" i="19"/>
  <c r="R64" i="19"/>
  <c r="W40" i="19"/>
  <c r="R55" i="19"/>
  <c r="W61" i="19"/>
  <c r="V30" i="19"/>
  <c r="V26" i="19"/>
  <c r="W43" i="19"/>
  <c r="T38" i="19"/>
  <c r="S56" i="19"/>
  <c r="S33" i="19"/>
  <c r="W44" i="19"/>
  <c r="S45" i="19"/>
  <c r="V61" i="19"/>
  <c r="W60" i="19"/>
  <c r="R41" i="19"/>
  <c r="S29" i="19"/>
  <c r="W31" i="19"/>
  <c r="R31" i="19"/>
  <c r="S40" i="19"/>
  <c r="W42" i="19"/>
  <c r="V55" i="19"/>
  <c r="S57" i="19"/>
  <c r="R45" i="19"/>
  <c r="T56" i="19"/>
  <c r="W29" i="19"/>
  <c r="W53" i="19"/>
  <c r="W55" i="19"/>
  <c r="V44" i="19"/>
  <c r="W30" i="19"/>
  <c r="R40" i="19"/>
  <c r="R56" i="19"/>
  <c r="W33" i="19"/>
  <c r="W39" i="19"/>
  <c r="R38" i="19"/>
  <c r="T64" i="19"/>
  <c r="T40" i="19"/>
  <c r="V64" i="19"/>
  <c r="R43" i="19"/>
  <c r="V33" i="19"/>
  <c r="V70" i="19" l="1"/>
  <c r="V71" i="19" s="1"/>
  <c r="V72" i="19" s="1"/>
  <c r="V8" i="19" s="1"/>
  <c r="W70" i="19"/>
  <c r="W71" i="19" s="1"/>
  <c r="W72" i="19" s="1"/>
  <c r="W8" i="19" s="1"/>
  <c r="T70" i="19"/>
  <c r="T71" i="19" s="1"/>
  <c r="T72" i="19" s="1"/>
  <c r="T8" i="19" s="1"/>
  <c r="U70" i="19"/>
  <c r="U71" i="19" s="1"/>
  <c r="U72" i="19" s="1"/>
  <c r="U8" i="19" s="1"/>
  <c r="R70" i="19"/>
  <c r="R71" i="19" s="1"/>
  <c r="R72" i="19" s="1"/>
  <c r="R8" i="19" s="1"/>
  <c r="S70" i="19"/>
  <c r="S71" i="19" s="1"/>
  <c r="S72" i="19" s="1"/>
  <c r="S8" i="19" s="1"/>
  <c r="L22" i="18" l="1"/>
  <c r="Q22" i="18" s="1"/>
</calcChain>
</file>

<file path=xl/comments1.xml><?xml version="1.0" encoding="utf-8"?>
<comments xmlns="http://schemas.openxmlformats.org/spreadsheetml/2006/main">
  <authors>
    <author>Vermeij, Izak</author>
  </authors>
  <commentList>
    <comment ref="H14" authorId="0" shapeId="0">
      <text>
        <r>
          <rPr>
            <b/>
            <sz val="9"/>
            <color indexed="81"/>
            <rFont val="Tahoma"/>
            <family val="2"/>
          </rPr>
          <t xml:space="preserve">Vanwege leklucht zal de maximale reductie 95% zijn. </t>
        </r>
        <r>
          <rPr>
            <sz val="9"/>
            <color indexed="81"/>
            <rFont val="Tahoma"/>
            <family val="2"/>
          </rPr>
          <t xml:space="preserve">
</t>
        </r>
      </text>
    </comment>
    <comment ref="H19" authorId="0" shapeId="0">
      <text>
        <r>
          <rPr>
            <b/>
            <sz val="9"/>
            <color indexed="81"/>
            <rFont val="Tahoma"/>
            <family val="2"/>
          </rPr>
          <t>Vanwege leklucht zal de gerealiseerde reductie maximaal 95% zijn.</t>
        </r>
        <r>
          <rPr>
            <sz val="9"/>
            <color indexed="81"/>
            <rFont val="Tahoma"/>
            <family val="2"/>
          </rPr>
          <t xml:space="preserve">
</t>
        </r>
      </text>
    </comment>
    <comment ref="L19" authorId="0" shapeId="0">
      <text>
        <r>
          <rPr>
            <b/>
            <sz val="9"/>
            <color indexed="81"/>
            <rFont val="Tahoma"/>
            <family val="2"/>
          </rPr>
          <t>Hier staat reductiepercentage van techniek zelf. Door de combinatie met andere technieken, zal het hieronder vermelde gerealiseerde percentage lager uitvallen.</t>
        </r>
        <r>
          <rPr>
            <sz val="9"/>
            <color indexed="81"/>
            <rFont val="Tahoma"/>
            <family val="2"/>
          </rPr>
          <t xml:space="preserve">
</t>
        </r>
      </text>
    </comment>
    <comment ref="L22" authorId="0" shapeId="0">
      <text>
        <r>
          <rPr>
            <sz val="9"/>
            <color indexed="81"/>
            <rFont val="Tahoma"/>
            <family val="2"/>
          </rPr>
          <t xml:space="preserve">Dit reductiepercentage is gebaseerd op het deel van de lucht dat door de overige techniek gaat en wordt beinvloed door de voorgaande technieken.
Enkele regels hierboven staat het reductiepercentage van de techniek 'an sich'. 
</t>
        </r>
      </text>
    </comment>
  </commentList>
</comments>
</file>

<file path=xl/sharedStrings.xml><?xml version="1.0" encoding="utf-8"?>
<sst xmlns="http://schemas.openxmlformats.org/spreadsheetml/2006/main" count="330" uniqueCount="216">
  <si>
    <t>K'broek</t>
  </si>
  <si>
    <t>bedrijf</t>
  </si>
  <si>
    <t>meting</t>
  </si>
  <si>
    <t>lft dieren</t>
  </si>
  <si>
    <t>datum</t>
  </si>
  <si>
    <t>T stal</t>
  </si>
  <si>
    <t>T buiten</t>
  </si>
  <si>
    <t>N'einde</t>
  </si>
  <si>
    <t/>
  </si>
  <si>
    <t>Debiet</t>
  </si>
  <si>
    <t>PM10</t>
  </si>
  <si>
    <t>B. Temp</t>
  </si>
  <si>
    <t>Graad-uren</t>
  </si>
  <si>
    <t>Ber PM10</t>
  </si>
  <si>
    <t>Deb WW</t>
  </si>
  <si>
    <t>Deb hoofd</t>
  </si>
  <si>
    <t>Ber tot deb</t>
  </si>
  <si>
    <t>PM10 em standaard</t>
  </si>
  <si>
    <t>PM em +WW +60%</t>
  </si>
  <si>
    <t>PM em +WW+ 50%</t>
  </si>
  <si>
    <t>PM em +WW +70%</t>
  </si>
  <si>
    <t>PM em +WW +99%</t>
  </si>
  <si>
    <t>PM em +WW +80%</t>
  </si>
  <si>
    <t>ionisatiefilter</t>
  </si>
  <si>
    <t xml:space="preserve"> </t>
  </si>
  <si>
    <t>A</t>
  </si>
  <si>
    <t>B</t>
  </si>
  <si>
    <t>C</t>
  </si>
  <si>
    <t>D</t>
  </si>
  <si>
    <t>E</t>
  </si>
  <si>
    <t>G</t>
  </si>
  <si>
    <t>H</t>
  </si>
  <si>
    <t>I</t>
  </si>
  <si>
    <t>J</t>
  </si>
  <si>
    <t>L</t>
  </si>
  <si>
    <t>serie alles
voetnoot 2</t>
  </si>
  <si>
    <t>F</t>
  </si>
  <si>
    <t>K</t>
  </si>
  <si>
    <t>M</t>
  </si>
  <si>
    <t>N</t>
  </si>
  <si>
    <t>O</t>
  </si>
  <si>
    <t>P</t>
  </si>
  <si>
    <t>Q</t>
  </si>
  <si>
    <t>R</t>
  </si>
  <si>
    <t>S</t>
  </si>
  <si>
    <t>T</t>
  </si>
  <si>
    <t>U</t>
  </si>
  <si>
    <t>V</t>
  </si>
  <si>
    <t>W</t>
  </si>
  <si>
    <t>X</t>
  </si>
  <si>
    <t>Y</t>
  </si>
  <si>
    <t>bio wasser 60%</t>
  </si>
  <si>
    <t>bio wasser 75%</t>
  </si>
  <si>
    <t>biofilter</t>
  </si>
  <si>
    <t>oliefilm</t>
  </si>
  <si>
    <t>negatieve ionisatie</t>
  </si>
  <si>
    <t>water wasser</t>
  </si>
  <si>
    <t>droogfilter</t>
  </si>
  <si>
    <t>oliefim</t>
  </si>
  <si>
    <t>strooiselschuif</t>
  </si>
  <si>
    <t>percentages berekend door 1 x (1-%)x(1-%)</t>
  </si>
  <si>
    <t>rood</t>
  </si>
  <si>
    <t>afwijkend</t>
  </si>
  <si>
    <t>paars</t>
  </si>
  <si>
    <t xml:space="preserve"> 1% afwijkend</t>
  </si>
  <si>
    <t>blauw</t>
  </si>
  <si>
    <t>kan niet gecombineerd</t>
  </si>
  <si>
    <t>chemische wasser</t>
  </si>
  <si>
    <t>warmtewisselaar zonder stof 31%</t>
  </si>
  <si>
    <t>warmtewisselaar met stof 31%</t>
  </si>
  <si>
    <t>warmtewisselaar zonder stof 13%</t>
  </si>
  <si>
    <t>warmtewisselaar met stof 13%</t>
  </si>
  <si>
    <t>warmtewisselaar zonder stof 37%</t>
  </si>
  <si>
    <t>warmtewisselaar met stof 37%</t>
  </si>
  <si>
    <t>warmtewisselaar zonder stof 50%</t>
  </si>
  <si>
    <t>warmtewisselaar met stof 50%</t>
  </si>
  <si>
    <t>Overzicht maximale waarden rekenmodel reducties fijnstof</t>
  </si>
  <si>
    <t>waarden in m3/dier/uur</t>
  </si>
  <si>
    <t>Maximale ventilatie:</t>
  </si>
  <si>
    <t>Opfok leghennen</t>
  </si>
  <si>
    <t>Leghennen</t>
  </si>
  <si>
    <t>Opfok vleeskuikenouderdieren</t>
  </si>
  <si>
    <t>Vleeskuikenouderdieren</t>
  </si>
  <si>
    <t>Vleeskuikens</t>
  </si>
  <si>
    <t>Vleeskalkoenen hennen</t>
  </si>
  <si>
    <t>Vleeskalkoenen hanen</t>
  </si>
  <si>
    <t>Vleeseenden</t>
  </si>
  <si>
    <t>Debiet door droogtunnel</t>
  </si>
  <si>
    <t>rekenwaarde</t>
  </si>
  <si>
    <t>in overzicht</t>
  </si>
  <si>
    <t>bandendroger (30%)</t>
  </si>
  <si>
    <t>Deze waarden staan (nog) niet genoemd in de beschrijvingen.</t>
  </si>
  <si>
    <t>platendroger (55%)</t>
  </si>
  <si>
    <t>Debiet door warmtewisselaar</t>
  </si>
  <si>
    <t>ZONDER FILTERS</t>
  </si>
  <si>
    <t>Reductiepercentage op stalniveau:</t>
  </si>
  <si>
    <t>MET FILTERS</t>
  </si>
  <si>
    <t>Staltechniek</t>
  </si>
  <si>
    <t>GEEN DROOGTUNNEL</t>
  </si>
  <si>
    <t>DROOGTUNNEL (PLATEN) 55%</t>
  </si>
  <si>
    <t>DROOGTUNNEL (BANDEN) 30%</t>
  </si>
  <si>
    <t>OLIEFILM</t>
  </si>
  <si>
    <t>JA</t>
  </si>
  <si>
    <t>NEE</t>
  </si>
  <si>
    <t>BIO WASSER 60%</t>
  </si>
  <si>
    <t>BIO WASSER 75%</t>
  </si>
  <si>
    <t>BIOFILTER</t>
  </si>
  <si>
    <t>DROOGFILTERWAND</t>
  </si>
  <si>
    <t>IONISATIEFILTER</t>
  </si>
  <si>
    <t>WARMTEWISSELAAR 31%</t>
  </si>
  <si>
    <t>WARMTEWISSELAAR 13%</t>
  </si>
  <si>
    <t>WARMTEWISSELAAR 37%</t>
  </si>
  <si>
    <t>WARMTEWISSELAAR 50%</t>
  </si>
  <si>
    <t>ZONDER STOFFILTER</t>
  </si>
  <si>
    <t>MET STOFFILTER</t>
  </si>
  <si>
    <t>GEEN STALTECHNIEK</t>
  </si>
  <si>
    <r>
      <t>Max. ventilatiedebiet m</t>
    </r>
    <r>
      <rPr>
        <vertAlign val="superscript"/>
        <sz val="12"/>
        <color theme="0"/>
        <rFont val="Calibri"/>
        <family val="2"/>
        <scheme val="minor"/>
      </rPr>
      <t>3</t>
    </r>
    <r>
      <rPr>
        <sz val="12"/>
        <color theme="0"/>
        <rFont val="Calibri"/>
        <family val="2"/>
        <scheme val="minor"/>
      </rPr>
      <t>/d/uur</t>
    </r>
  </si>
  <si>
    <t>GEEN TECHNIEK</t>
  </si>
  <si>
    <t>VLEESKUIKENOUDERDIEREN GROEPSKOOI</t>
  </si>
  <si>
    <t>VLEESKUIKENOUDERDIEREN VOLIERE</t>
  </si>
  <si>
    <t>VLEESKUIKENOUDERDIEREN GRONDHUISVESTING</t>
  </si>
  <si>
    <t>̌</t>
  </si>
  <si>
    <t>WATERLUCHTWASSYSTEEM</t>
  </si>
  <si>
    <t>ALLE VENTILATIELUCHT</t>
  </si>
  <si>
    <t>DEEL VENTILATIELUCHT</t>
  </si>
  <si>
    <r>
      <t>Kies ALLE VENTILATIELUCHT ivm vereiste NH</t>
    </r>
    <r>
      <rPr>
        <vertAlign val="subscript"/>
        <sz val="12"/>
        <color theme="0"/>
        <rFont val="Calibri"/>
        <family val="2"/>
        <scheme val="minor"/>
      </rPr>
      <t xml:space="preserve">3 </t>
    </r>
    <r>
      <rPr>
        <sz val="12"/>
        <color theme="0"/>
        <rFont val="Calibri"/>
        <family val="2"/>
        <scheme val="minor"/>
      </rPr>
      <t>reductie</t>
    </r>
  </si>
  <si>
    <t>75% VENTILATIE</t>
  </si>
  <si>
    <t>50% VENTILATIE</t>
  </si>
  <si>
    <t>25% VENTILATIE</t>
  </si>
  <si>
    <t>PARALLEL GESCHAKELD MET WARMTEWISSELAAR</t>
  </si>
  <si>
    <t>SERIE GESCHAKELD MET WARMTEWISSELAAR</t>
  </si>
  <si>
    <t>Overige technieken</t>
  </si>
  <si>
    <t>Maximale ventilatie in de stal</t>
  </si>
  <si>
    <t>OLIEFILM dmv OLIEROBOT</t>
  </si>
  <si>
    <t>naam</t>
  </si>
  <si>
    <t>adres</t>
  </si>
  <si>
    <t>KIES EEN CATEGORIE</t>
  </si>
  <si>
    <r>
      <t>Reductiepercentage PM</t>
    </r>
    <r>
      <rPr>
        <b/>
        <vertAlign val="subscript"/>
        <sz val="24"/>
        <rFont val="Calibri"/>
        <family val="2"/>
        <scheme val="minor"/>
      </rPr>
      <t>10</t>
    </r>
  </si>
  <si>
    <t>Reductiepercentage in stal</t>
  </si>
  <si>
    <t>Reductiepercentage overige techniek</t>
  </si>
  <si>
    <t>Berekenen van het reductiepercentage van combinaties van fijnstof reducerende technieken</t>
  </si>
  <si>
    <t>Totaal deb update (m3/d/u)</t>
  </si>
  <si>
    <t>Hoofd deb update minus WW (m3/d/u)</t>
  </si>
  <si>
    <t>Deb. w.wisselaar (m3/u/d)</t>
  </si>
  <si>
    <t>PM10 conc (mg/m3)</t>
  </si>
  <si>
    <t>Emissie PM10 zonder reductie (g/dpl/j)</t>
  </si>
  <si>
    <r>
      <t xml:space="preserve">Emissie (g/dpl/jr) bij ..% red. WW </t>
    </r>
    <r>
      <rPr>
        <b/>
        <i/>
        <u/>
        <sz val="10"/>
        <rFont val="Arial"/>
        <family val="2"/>
      </rPr>
      <t>en</t>
    </r>
    <r>
      <rPr>
        <b/>
        <sz val="10"/>
        <rFont val="Arial"/>
        <family val="2"/>
      </rPr>
      <t xml:space="preserve"> ..%red hoofddebiet</t>
    </r>
  </si>
  <si>
    <t>Berekeningen bij uitbroeden/opfokken en overplaatsen</t>
  </si>
  <si>
    <t>Achtergrond</t>
  </si>
  <si>
    <t>reductie in de stal</t>
  </si>
  <si>
    <t>max. debiet door wwlaar/droge stoffilters (m3/u/d)</t>
  </si>
  <si>
    <t>zonder reductie</t>
  </si>
  <si>
    <t>met reductie</t>
  </si>
  <si>
    <t>verhouding plaatsen</t>
  </si>
  <si>
    <t>1:2</t>
  </si>
  <si>
    <t>1:1</t>
  </si>
  <si>
    <t>trad.</t>
  </si>
  <si>
    <t>uitbroed/opfok-systeem</t>
  </si>
  <si>
    <t>gemiddelde reductie</t>
  </si>
  <si>
    <t>Overplaatsen op  .... dagen</t>
  </si>
  <si>
    <t>dagen eieren</t>
  </si>
  <si>
    <t>dagen leegstand</t>
  </si>
  <si>
    <t>dagen/ronde</t>
  </si>
  <si>
    <t># rondes/jr</t>
  </si>
  <si>
    <t>emissie/ronde  (gam)</t>
  </si>
  <si>
    <t>emissie/dpl/jr (gram)</t>
  </si>
  <si>
    <t>vervolghuisvesting</t>
  </si>
  <si>
    <t># dagen</t>
  </si>
  <si>
    <t>Groeiperiode</t>
  </si>
  <si>
    <t>Patio</t>
  </si>
  <si>
    <t>VVH</t>
  </si>
  <si>
    <t>Leegstand na vvh</t>
  </si>
  <si>
    <t># ronden</t>
  </si>
  <si>
    <t>emissie/ronde  (gram)</t>
  </si>
  <si>
    <t>samen (gr/dpl/jr)</t>
  </si>
  <si>
    <t>verschil t.o.v. trad.</t>
  </si>
  <si>
    <t>reductie</t>
  </si>
  <si>
    <t>totaal reductie debiet</t>
  </si>
  <si>
    <t>gem (- leeg)</t>
  </si>
  <si>
    <t>gem (+ leeg)</t>
  </si>
  <si>
    <t>TOTAAL DEBIET (hoofd en WW)</t>
  </si>
  <si>
    <t>reductie wwlaar zonder droge stoffilters</t>
  </si>
  <si>
    <t>beiden niet via techniek</t>
  </si>
  <si>
    <t>reductie overige techniek ALLE lucht</t>
  </si>
  <si>
    <t>Emissie alleen stoffilter</t>
  </si>
  <si>
    <t>Emissie alleen ww</t>
  </si>
  <si>
    <t>lucht ww niet via techniek</t>
  </si>
  <si>
    <t>Emissie na overige techniek (g/dpl/jr)</t>
  </si>
  <si>
    <t>lucht ww niet via techniek wel via stoffilter</t>
  </si>
  <si>
    <t>% t.o.v. maximum</t>
  </si>
  <si>
    <t>ww wel via overige techniek</t>
  </si>
  <si>
    <t>Warmtewisselaar met stoffilter?</t>
  </si>
  <si>
    <t>lucht ww i.c.m. filter via techniek</t>
  </si>
  <si>
    <t>max. debiet stoffilter stand alone</t>
  </si>
  <si>
    <t>Emissie ww + stand alone stoffilter</t>
  </si>
  <si>
    <t>Deb. Alleen Stoffilter (m3/u/d)</t>
  </si>
  <si>
    <t>Deb. Ww en Stoffilter (m3/u/d)</t>
  </si>
  <si>
    <t>Emissie Stoffilter en ww achter elkaar</t>
  </si>
  <si>
    <t>max. debiet stoffilter met ww</t>
  </si>
  <si>
    <t>Gemaakt in opdracht van het ministerie van Infrastructuur en Waterstaat</t>
  </si>
  <si>
    <t>ww incl stoffilter via techniek</t>
  </si>
  <si>
    <r>
      <t>m</t>
    </r>
    <r>
      <rPr>
        <vertAlign val="superscript"/>
        <sz val="12"/>
        <color theme="1"/>
        <rFont val="Calibri"/>
        <family val="2"/>
        <scheme val="minor"/>
      </rPr>
      <t>3</t>
    </r>
    <r>
      <rPr>
        <sz val="12"/>
        <color theme="1"/>
        <rFont val="Calibri"/>
        <family val="2"/>
        <scheme val="minor"/>
      </rPr>
      <t>/uur</t>
    </r>
  </si>
  <si>
    <r>
      <t>m</t>
    </r>
    <r>
      <rPr>
        <b/>
        <vertAlign val="superscript"/>
        <sz val="14"/>
        <color theme="0" tint="-0.499984740745262"/>
        <rFont val="Calibri"/>
        <family val="2"/>
        <scheme val="minor"/>
      </rPr>
      <t>3</t>
    </r>
    <r>
      <rPr>
        <b/>
        <sz val="14"/>
        <color theme="0" tint="-0.499984740745262"/>
        <rFont val="Calibri"/>
        <family val="2"/>
        <scheme val="minor"/>
      </rPr>
      <t>/uur</t>
    </r>
  </si>
  <si>
    <t>LUCHTCONDITIONERINGSUNIT</t>
  </si>
  <si>
    <t>IONISATIE d.m.v. KOOLSTOFBORSTELTJES</t>
  </si>
  <si>
    <t>Graaduren</t>
  </si>
  <si>
    <r>
      <t xml:space="preserve">Bij alle </t>
    </r>
    <r>
      <rPr>
        <b/>
        <sz val="14"/>
        <color rgb="FFFFFF00"/>
        <rFont val="Calibri"/>
        <family val="2"/>
        <scheme val="minor"/>
      </rPr>
      <t xml:space="preserve">GEEL </t>
    </r>
    <r>
      <rPr>
        <b/>
        <sz val="14"/>
        <color rgb="FF0070C0"/>
        <rFont val="Calibri"/>
        <family val="2"/>
        <scheme val="minor"/>
      </rPr>
      <t xml:space="preserve">gekleurde vakjes dient een keuze gemaakt te worden. Ga op het vakje staan, klik rechts naast vakje en kies een optie.                              </t>
    </r>
  </si>
  <si>
    <r>
      <t xml:space="preserve">De gerealiseerde reductiepercentages staan in </t>
    </r>
    <r>
      <rPr>
        <b/>
        <sz val="14"/>
        <color rgb="FF00B050"/>
        <rFont val="Calibri"/>
        <family val="2"/>
        <scheme val="minor"/>
      </rPr>
      <t xml:space="preserve">GROENE </t>
    </r>
    <r>
      <rPr>
        <b/>
        <sz val="14"/>
        <color rgb="FF0070C0"/>
        <rFont val="Calibri"/>
        <family val="2"/>
        <scheme val="minor"/>
      </rPr>
      <t xml:space="preserve">blokjes vermeld. Helemaal rechts is het reductiepercentage van de combinatie van de fijnstofreducerende </t>
    </r>
  </si>
  <si>
    <r>
      <t xml:space="preserve">technieken weergegeven. Als combinaties niet mogelijk of zinvol zijn, verschijnt er tekst in </t>
    </r>
    <r>
      <rPr>
        <b/>
        <sz val="14"/>
        <color rgb="FFFF0000"/>
        <rFont val="Calibri"/>
        <family val="2"/>
        <scheme val="minor"/>
      </rPr>
      <t>ROOD</t>
    </r>
    <r>
      <rPr>
        <b/>
        <sz val="14"/>
        <color rgb="FF0070C0"/>
        <rFont val="Calibri"/>
        <family val="2"/>
        <scheme val="minor"/>
      </rPr>
      <t>. Bij 'niet mogelijk' dient u keuze(s) aan te passen.</t>
    </r>
  </si>
  <si>
    <t xml:space="preserve">Bij warmtewisselaar en stoffilter kan de ventilatiehoeveelheid door een techniek aangepast worden met de pijltjes omhoog/omlaag. </t>
  </si>
  <si>
    <t>Stal voor Ouderdieren</t>
  </si>
  <si>
    <t>Rekenmodel Vee-combistof - pluimvee (V2.0, 15 maart 2021)</t>
  </si>
  <si>
    <t>invullen</t>
  </si>
  <si>
    <t>CHEMISCHE WASSER 35%</t>
  </si>
  <si>
    <t>CHEMISCHE WASSER 70%</t>
  </si>
  <si>
    <t>TOELICHTING GEBRUIK REKENMODEL (Er is online ook een handleiding beschikbaar).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</si>
</sst>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
    <numFmt numFmtId="166" formatCode="d/mm/yy;@"/>
    <numFmt numFmtId="167" formatCode="0.0000"/>
    <numFmt numFmtId="168" formatCode="0.000"/>
    <numFmt numFmtId="169" formatCode="0.0%"/>
    <numFmt numFmtId="170" formatCode="#,##0.00_ ;\-#,##0.00\ "/>
    <numFmt numFmtId="171" formatCode="0.000000"/>
    <numFmt numFmtId="172" formatCode="0.000%"/>
  </numFmts>
  <fonts count="66" x14ac:knownFonts="1">
    <font>
      <sz val="10"/>
      <name val="Arial"/>
    </font>
    <font>
      <sz val="11"/>
      <color theme="1"/>
      <name val="Calibri"/>
      <family val="2"/>
      <scheme val="minor"/>
    </font>
    <font>
      <sz val="10"/>
      <name val="Arial"/>
      <family val="2"/>
    </font>
    <font>
      <sz val="8"/>
      <name val="Arial"/>
      <family val="2"/>
    </font>
    <font>
      <b/>
      <sz val="10"/>
      <name val="Arial"/>
      <family val="2"/>
    </font>
    <font>
      <i/>
      <sz val="10"/>
      <name val="Arial"/>
      <family val="2"/>
    </font>
    <font>
      <sz val="10"/>
      <name val="Arial"/>
      <family val="2"/>
    </font>
    <font>
      <b/>
      <i/>
      <sz val="10"/>
      <name val="Arial"/>
      <family val="2"/>
    </font>
    <font>
      <b/>
      <i/>
      <u/>
      <sz val="10"/>
      <name val="Arial"/>
      <family val="2"/>
    </font>
    <font>
      <sz val="12"/>
      <color theme="1"/>
      <name val="Calibri"/>
      <family val="2"/>
      <scheme val="minor"/>
    </font>
    <font>
      <b/>
      <sz val="14"/>
      <color theme="1"/>
      <name val="Calibri"/>
      <family val="2"/>
      <scheme val="minor"/>
    </font>
    <font>
      <b/>
      <sz val="12"/>
      <name val="Calibri"/>
      <family val="2"/>
      <scheme val="minor"/>
    </font>
    <font>
      <sz val="9"/>
      <color rgb="FF000000"/>
      <name val="Verdana"/>
      <family val="2"/>
    </font>
    <font>
      <b/>
      <sz val="12"/>
      <color theme="1"/>
      <name val="Calibri"/>
      <family val="2"/>
      <scheme val="minor"/>
    </font>
    <font>
      <sz val="12"/>
      <color theme="4" tint="0.59999389629810485"/>
      <name val="Calibri"/>
      <family val="2"/>
      <scheme val="minor"/>
    </font>
    <font>
      <sz val="12"/>
      <name val="Calibri"/>
      <family val="2"/>
      <scheme val="minor"/>
    </font>
    <font>
      <sz val="12"/>
      <color rgb="FFFF0000"/>
      <name val="Calibri"/>
      <family val="2"/>
      <scheme val="minor"/>
    </font>
    <font>
      <b/>
      <sz val="13"/>
      <color theme="1"/>
      <name val="Calibri"/>
      <family val="2"/>
      <scheme val="minor"/>
    </font>
    <font>
      <vertAlign val="superscript"/>
      <sz val="12"/>
      <color theme="1"/>
      <name val="Calibri"/>
      <family val="2"/>
      <scheme val="minor"/>
    </font>
    <font>
      <sz val="14"/>
      <name val="Calibri"/>
      <family val="2"/>
      <scheme val="minor"/>
    </font>
    <font>
      <sz val="18"/>
      <color theme="1"/>
      <name val="Calibri"/>
      <family val="2"/>
      <scheme val="minor"/>
    </font>
    <font>
      <sz val="10"/>
      <name val="Arial"/>
      <family val="2"/>
    </font>
    <font>
      <sz val="14"/>
      <color rgb="FFFF0000"/>
      <name val="Calibri"/>
      <family val="2"/>
      <scheme val="minor"/>
    </font>
    <font>
      <sz val="9"/>
      <color theme="1"/>
      <name val="Verdana"/>
      <family val="2"/>
    </font>
    <font>
      <b/>
      <u/>
      <sz val="9"/>
      <color theme="1"/>
      <name val="Verdana"/>
      <family val="2"/>
    </font>
    <font>
      <b/>
      <i/>
      <sz val="9"/>
      <color theme="1"/>
      <name val="Verdana"/>
      <family val="2"/>
    </font>
    <font>
      <u/>
      <sz val="9"/>
      <color theme="1"/>
      <name val="Verdana"/>
      <family val="2"/>
    </font>
    <font>
      <i/>
      <sz val="9"/>
      <color theme="1"/>
      <name val="Verdana"/>
      <family val="2"/>
    </font>
    <font>
      <b/>
      <sz val="14"/>
      <color rgb="FFFF0000"/>
      <name val="Calibri"/>
      <family val="2"/>
      <scheme val="minor"/>
    </font>
    <font>
      <b/>
      <sz val="12"/>
      <color rgb="FFFF0000"/>
      <name val="Calibri"/>
      <family val="2"/>
      <scheme val="minor"/>
    </font>
    <font>
      <sz val="14"/>
      <color theme="1"/>
      <name val="Calibri"/>
      <family val="2"/>
      <scheme val="minor"/>
    </font>
    <font>
      <sz val="12"/>
      <color theme="0"/>
      <name val="Calibri"/>
      <family val="2"/>
      <scheme val="minor"/>
    </font>
    <font>
      <vertAlign val="superscript"/>
      <sz val="12"/>
      <color theme="0"/>
      <name val="Calibri"/>
      <family val="2"/>
      <scheme val="minor"/>
    </font>
    <font>
      <sz val="12"/>
      <color theme="1"/>
      <name val="Calibri"/>
      <family val="2"/>
    </font>
    <font>
      <b/>
      <sz val="22"/>
      <color theme="1"/>
      <name val="Calibri"/>
      <family val="2"/>
      <scheme val="minor"/>
    </font>
    <font>
      <sz val="12"/>
      <name val="Arial"/>
      <family val="2"/>
    </font>
    <font>
      <b/>
      <sz val="14"/>
      <name val="Arial"/>
      <family val="2"/>
    </font>
    <font>
      <sz val="14"/>
      <name val="Arial"/>
      <family val="2"/>
    </font>
    <font>
      <b/>
      <sz val="13"/>
      <color rgb="FFFF0000"/>
      <name val="Calibri"/>
      <family val="2"/>
      <scheme val="minor"/>
    </font>
    <font>
      <sz val="23"/>
      <color theme="1"/>
      <name val="Calibri"/>
      <family val="2"/>
      <scheme val="minor"/>
    </font>
    <font>
      <b/>
      <sz val="24"/>
      <name val="Calibri"/>
      <family val="2"/>
      <scheme val="minor"/>
    </font>
    <font>
      <sz val="24"/>
      <name val="Arial"/>
      <family val="2"/>
    </font>
    <font>
      <b/>
      <sz val="16"/>
      <color rgb="FFFF0000"/>
      <name val="Calibri"/>
      <family val="2"/>
      <scheme val="minor"/>
    </font>
    <font>
      <vertAlign val="subscript"/>
      <sz val="12"/>
      <color theme="0"/>
      <name val="Calibri"/>
      <family val="2"/>
      <scheme val="minor"/>
    </font>
    <font>
      <b/>
      <sz val="20"/>
      <color theme="3" tint="0.39997558519241921"/>
      <name val="Calibri"/>
      <family val="2"/>
      <scheme val="minor"/>
    </font>
    <font>
      <sz val="18"/>
      <name val="Calibri"/>
      <family val="2"/>
      <scheme val="minor"/>
    </font>
    <font>
      <b/>
      <sz val="14"/>
      <color theme="0" tint="-0.499984740745262"/>
      <name val="Calibri"/>
      <family val="2"/>
      <scheme val="minor"/>
    </font>
    <font>
      <b/>
      <vertAlign val="superscript"/>
      <sz val="14"/>
      <color theme="0" tint="-0.499984740745262"/>
      <name val="Calibri"/>
      <family val="2"/>
      <scheme val="minor"/>
    </font>
    <font>
      <b/>
      <sz val="14"/>
      <color rgb="FF0070C0"/>
      <name val="Calibri"/>
      <family val="2"/>
      <scheme val="minor"/>
    </font>
    <font>
      <b/>
      <sz val="14"/>
      <color rgb="FF00B050"/>
      <name val="Calibri"/>
      <family val="2"/>
      <scheme val="minor"/>
    </font>
    <font>
      <b/>
      <sz val="14"/>
      <name val="Calibri"/>
      <family val="2"/>
      <scheme val="minor"/>
    </font>
    <font>
      <b/>
      <sz val="14"/>
      <color rgb="FF002060"/>
      <name val="Calibri"/>
      <family val="2"/>
      <scheme val="minor"/>
    </font>
    <font>
      <b/>
      <vertAlign val="subscript"/>
      <sz val="24"/>
      <name val="Calibri"/>
      <family val="2"/>
      <scheme val="minor"/>
    </font>
    <font>
      <sz val="9"/>
      <color indexed="81"/>
      <name val="Tahoma"/>
      <family val="2"/>
    </font>
    <font>
      <b/>
      <sz val="9"/>
      <color indexed="81"/>
      <name val="Tahoma"/>
      <family val="2"/>
    </font>
    <font>
      <b/>
      <sz val="14"/>
      <color rgb="FFFFFF00"/>
      <name val="Calibri"/>
      <family val="2"/>
      <scheme val="minor"/>
    </font>
    <font>
      <b/>
      <sz val="15"/>
      <name val="Calibri"/>
      <family val="2"/>
      <scheme val="minor"/>
    </font>
    <font>
      <sz val="15"/>
      <name val="Arial"/>
      <family val="2"/>
    </font>
    <font>
      <b/>
      <sz val="12"/>
      <color rgb="FFFFFF00"/>
      <name val="Calibri"/>
      <family val="2"/>
      <scheme val="minor"/>
    </font>
    <font>
      <sz val="12"/>
      <color rgb="FFFFFF00"/>
      <name val="Calibri"/>
      <family val="2"/>
      <scheme val="minor"/>
    </font>
    <font>
      <b/>
      <sz val="14"/>
      <color rgb="FFFF0000"/>
      <name val="Arial"/>
      <family val="2"/>
    </font>
    <font>
      <b/>
      <sz val="12"/>
      <color rgb="FFFF0000"/>
      <name val="Verdana"/>
      <family val="2"/>
    </font>
    <font>
      <sz val="12"/>
      <color rgb="FF222222"/>
      <name val="Calibri"/>
      <family val="2"/>
      <scheme val="minor"/>
    </font>
    <font>
      <b/>
      <sz val="12"/>
      <color rgb="FF00B0F0"/>
      <name val="Calibri"/>
      <family val="2"/>
      <scheme val="minor"/>
    </font>
    <font>
      <b/>
      <sz val="10"/>
      <color rgb="FF00B0F0"/>
      <name val="Arial"/>
      <family val="2"/>
    </font>
    <font>
      <b/>
      <sz val="14"/>
      <color rgb="FF0070C0"/>
      <name val="Arial"/>
      <family val="2"/>
    </font>
  </fonts>
  <fills count="2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13"/>
        <bgColor indexed="64"/>
      </patternFill>
    </fill>
    <fill>
      <patternFill patternType="solid">
        <fgColor rgb="FFCCFFCC"/>
        <bgColor indexed="64"/>
      </patternFill>
    </fill>
    <fill>
      <patternFill patternType="solid">
        <fgColor indexed="42"/>
        <bgColor indexed="64"/>
      </patternFill>
    </fill>
    <fill>
      <patternFill patternType="solid">
        <fgColor theme="7"/>
        <bgColor indexed="64"/>
      </patternFill>
    </fill>
    <fill>
      <patternFill patternType="solid">
        <fgColor rgb="FFFF0000"/>
        <bgColor indexed="64"/>
      </patternFill>
    </fill>
    <fill>
      <patternFill patternType="solid">
        <fgColor rgb="FF8064A2"/>
        <bgColor indexed="64"/>
      </patternFill>
    </fill>
    <fill>
      <patternFill patternType="solid">
        <fgColor rgb="FF0070C0"/>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9" fontId="2"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0" fontId="12" fillId="0" borderId="0"/>
    <xf numFmtId="164" fontId="21" fillId="0" borderId="0" applyFont="0" applyFill="0" applyBorder="0" applyAlignment="0" applyProtection="0"/>
    <xf numFmtId="0" fontId="23" fillId="0" borderId="0"/>
  </cellStyleXfs>
  <cellXfs count="293">
    <xf numFmtId="0" fontId="0" fillId="0" borderId="0" xfId="0"/>
    <xf numFmtId="0" fontId="0" fillId="0" borderId="0" xfId="0" applyAlignment="1">
      <alignment horizontal="center"/>
    </xf>
    <xf numFmtId="166" fontId="0" fillId="0" borderId="0" xfId="0" applyNumberFormat="1" applyAlignment="1">
      <alignment horizontal="center"/>
    </xf>
    <xf numFmtId="0" fontId="4" fillId="0" borderId="0" xfId="0" applyFont="1"/>
    <xf numFmtId="0" fontId="4" fillId="0" borderId="0" xfId="0" applyFont="1" applyAlignment="1">
      <alignment horizontal="center"/>
    </xf>
    <xf numFmtId="165"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167" fontId="0" fillId="0" borderId="0" xfId="0" applyNumberFormat="1" applyAlignment="1">
      <alignment horizontal="center"/>
    </xf>
    <xf numFmtId="2" fontId="5" fillId="0" borderId="0" xfId="0" applyNumberFormat="1" applyFont="1" applyAlignment="1">
      <alignment horizontal="center"/>
    </xf>
    <xf numFmtId="2" fontId="6" fillId="0" borderId="0" xfId="0" applyNumberFormat="1" applyFont="1" applyAlignment="1">
      <alignment horizontal="center"/>
    </xf>
    <xf numFmtId="165" fontId="4" fillId="0" borderId="0" xfId="0" applyNumberFormat="1" applyFont="1" applyAlignment="1">
      <alignment horizontal="center" vertical="top" wrapText="1"/>
    </xf>
    <xf numFmtId="165" fontId="6" fillId="0" borderId="0" xfId="0" applyNumberFormat="1" applyFont="1" applyAlignment="1">
      <alignment horizontal="center"/>
    </xf>
    <xf numFmtId="2" fontId="4" fillId="0" borderId="0" xfId="0" applyNumberFormat="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4" fillId="0" borderId="0" xfId="0" applyFont="1" applyAlignment="1">
      <alignment horizontal="center" vertical="top" wrapText="1"/>
    </xf>
    <xf numFmtId="165" fontId="4" fillId="0" borderId="0" xfId="0" applyNumberFormat="1" applyFont="1" applyAlignment="1">
      <alignment horizontal="center"/>
    </xf>
    <xf numFmtId="169" fontId="2" fillId="0" borderId="0" xfId="1" applyNumberFormat="1" applyAlignment="1">
      <alignment horizontal="center"/>
    </xf>
    <xf numFmtId="169" fontId="4" fillId="0" borderId="0" xfId="1" applyNumberFormat="1" applyFont="1" applyAlignment="1">
      <alignment horizontal="center"/>
    </xf>
    <xf numFmtId="0" fontId="4" fillId="0" borderId="0" xfId="0" applyFont="1" applyAlignment="1">
      <alignment vertical="top" wrapText="1"/>
    </xf>
    <xf numFmtId="0" fontId="0" fillId="2" borderId="0" xfId="0" applyFill="1" applyAlignment="1">
      <alignment horizontal="center"/>
    </xf>
    <xf numFmtId="0" fontId="4" fillId="2" borderId="0" xfId="0" applyFont="1" applyFill="1" applyAlignment="1">
      <alignment horizontal="center" vertical="top" wrapText="1"/>
    </xf>
    <xf numFmtId="167" fontId="0" fillId="2" borderId="0" xfId="0" applyNumberFormat="1" applyFill="1" applyAlignment="1">
      <alignment horizontal="center"/>
    </xf>
    <xf numFmtId="165" fontId="4" fillId="2" borderId="0" xfId="0" applyNumberFormat="1" applyFont="1" applyFill="1" applyAlignment="1">
      <alignment horizontal="center"/>
    </xf>
    <xf numFmtId="169" fontId="4" fillId="2" borderId="0" xfId="1" applyNumberFormat="1" applyFont="1" applyFill="1" applyAlignment="1">
      <alignment horizontal="center"/>
    </xf>
    <xf numFmtId="2" fontId="0" fillId="2" borderId="0" xfId="0" applyNumberFormat="1" applyFill="1" applyAlignment="1">
      <alignment horizontal="center"/>
    </xf>
    <xf numFmtId="0" fontId="4" fillId="0" borderId="1" xfId="0" applyFont="1" applyBorder="1" applyAlignment="1">
      <alignment horizontal="center" vertical="top" wrapText="1"/>
    </xf>
    <xf numFmtId="2" fontId="4" fillId="0" borderId="1" xfId="0" applyNumberFormat="1" applyFont="1" applyBorder="1" applyAlignment="1">
      <alignment horizontal="center" vertical="top" wrapText="1"/>
    </xf>
    <xf numFmtId="2" fontId="4" fillId="2" borderId="1" xfId="0" applyNumberFormat="1" applyFont="1" applyFill="1" applyBorder="1" applyAlignment="1">
      <alignment horizontal="center" vertical="top" wrapText="1"/>
    </xf>
    <xf numFmtId="165" fontId="4" fillId="0" borderId="1" xfId="0" applyNumberFormat="1" applyFont="1" applyBorder="1" applyAlignment="1">
      <alignment horizontal="center" vertical="top" wrapText="1"/>
    </xf>
    <xf numFmtId="0" fontId="4" fillId="3" borderId="0" xfId="0" applyFont="1" applyFill="1" applyAlignment="1">
      <alignment horizontal="center" vertical="top" wrapText="1"/>
    </xf>
    <xf numFmtId="2" fontId="4" fillId="3" borderId="1" xfId="0" applyNumberFormat="1" applyFont="1" applyFill="1" applyBorder="1" applyAlignment="1">
      <alignment horizontal="center" vertical="top" wrapText="1"/>
    </xf>
    <xf numFmtId="167" fontId="0" fillId="3" borderId="0" xfId="0" applyNumberFormat="1" applyFill="1" applyAlignment="1">
      <alignment horizontal="center"/>
    </xf>
    <xf numFmtId="165" fontId="4" fillId="3" borderId="0" xfId="0" applyNumberFormat="1" applyFont="1" applyFill="1" applyAlignment="1">
      <alignment horizontal="center"/>
    </xf>
    <xf numFmtId="169" fontId="4" fillId="3" borderId="0" xfId="1" applyNumberFormat="1" applyFont="1" applyFill="1" applyAlignment="1">
      <alignment horizontal="center"/>
    </xf>
    <xf numFmtId="0" fontId="0" fillId="3" borderId="0" xfId="0" applyFill="1" applyAlignment="1">
      <alignment horizontal="center"/>
    </xf>
    <xf numFmtId="0" fontId="2" fillId="0" borderId="0" xfId="0" applyFont="1"/>
    <xf numFmtId="0" fontId="2" fillId="0" borderId="0" xfId="0" applyFont="1" applyAlignment="1">
      <alignment horizontal="center"/>
    </xf>
    <xf numFmtId="2" fontId="4" fillId="4" borderId="1" xfId="0" applyNumberFormat="1" applyFont="1" applyFill="1" applyBorder="1" applyAlignment="1">
      <alignment horizontal="center" vertical="top" wrapText="1"/>
    </xf>
    <xf numFmtId="168" fontId="0" fillId="0" borderId="0" xfId="0" applyNumberFormat="1"/>
    <xf numFmtId="0" fontId="9" fillId="0" borderId="0" xfId="2"/>
    <xf numFmtId="0" fontId="9" fillId="5" borderId="0" xfId="2" applyFill="1"/>
    <xf numFmtId="9" fontId="9" fillId="0" borderId="0" xfId="2" applyNumberFormat="1"/>
    <xf numFmtId="1" fontId="9" fillId="0" borderId="0" xfId="2" applyNumberFormat="1"/>
    <xf numFmtId="0" fontId="9" fillId="0" borderId="0" xfId="2" applyAlignment="1">
      <alignment wrapText="1"/>
    </xf>
    <xf numFmtId="9" fontId="9" fillId="5" borderId="0" xfId="2" applyNumberFormat="1" applyFill="1"/>
    <xf numFmtId="2" fontId="9" fillId="5" borderId="0" xfId="2" applyNumberFormat="1" applyFill="1"/>
    <xf numFmtId="9" fontId="14" fillId="7" borderId="0" xfId="2" applyNumberFormat="1" applyFont="1" applyFill="1"/>
    <xf numFmtId="9" fontId="14" fillId="8" borderId="0" xfId="2" applyNumberFormat="1" applyFont="1" applyFill="1"/>
    <xf numFmtId="9" fontId="15" fillId="9" borderId="0" xfId="2" applyNumberFormat="1" applyFont="1" applyFill="1"/>
    <xf numFmtId="9" fontId="9" fillId="0" borderId="0" xfId="2" applyNumberFormat="1" applyFill="1"/>
    <xf numFmtId="9" fontId="9" fillId="9" borderId="0" xfId="2" applyNumberFormat="1" applyFill="1"/>
    <xf numFmtId="9" fontId="16" fillId="0" borderId="0" xfId="2" applyNumberFormat="1" applyFont="1" applyFill="1"/>
    <xf numFmtId="9" fontId="15" fillId="0" borderId="0" xfId="2" applyNumberFormat="1" applyFont="1" applyFill="1"/>
    <xf numFmtId="1" fontId="9" fillId="0" borderId="0" xfId="2" applyNumberFormat="1" applyFill="1"/>
    <xf numFmtId="1" fontId="16" fillId="0" borderId="0" xfId="2" applyNumberFormat="1" applyFont="1"/>
    <xf numFmtId="2" fontId="9" fillId="0" borderId="0" xfId="2" applyNumberFormat="1"/>
    <xf numFmtId="0" fontId="9" fillId="0" borderId="0" xfId="2" applyFill="1" applyBorder="1"/>
    <xf numFmtId="0" fontId="9" fillId="0" borderId="0" xfId="2" applyFill="1"/>
    <xf numFmtId="0" fontId="13" fillId="0" borderId="0" xfId="2" applyFont="1" applyFill="1" applyAlignment="1">
      <alignment horizontal="center"/>
    </xf>
    <xf numFmtId="2" fontId="13" fillId="0" borderId="0" xfId="2" applyNumberFormat="1" applyFont="1"/>
    <xf numFmtId="0" fontId="0" fillId="0" borderId="0" xfId="0" applyFill="1"/>
    <xf numFmtId="0" fontId="19" fillId="10" borderId="0" xfId="2" applyFont="1" applyFill="1" applyAlignment="1">
      <alignment horizontal="center"/>
    </xf>
    <xf numFmtId="0" fontId="22" fillId="0" borderId="0" xfId="2" applyFont="1"/>
    <xf numFmtId="0" fontId="24" fillId="0" borderId="0" xfId="7" applyFont="1"/>
    <xf numFmtId="0" fontId="23" fillId="0" borderId="0" xfId="7"/>
    <xf numFmtId="0" fontId="25" fillId="0" borderId="0" xfId="7" applyFont="1"/>
    <xf numFmtId="0" fontId="23" fillId="0" borderId="0" xfId="7" applyFont="1"/>
    <xf numFmtId="0" fontId="26" fillId="0" borderId="0" xfId="7" applyFont="1"/>
    <xf numFmtId="0" fontId="23" fillId="0" borderId="0" xfId="7" applyAlignment="1">
      <alignment horizontal="right"/>
    </xf>
    <xf numFmtId="168" fontId="23" fillId="0" borderId="0" xfId="7" applyNumberFormat="1"/>
    <xf numFmtId="0" fontId="23" fillId="4" borderId="0" xfId="7" applyFill="1"/>
    <xf numFmtId="2" fontId="23" fillId="0" borderId="0" xfId="7" applyNumberFormat="1"/>
    <xf numFmtId="0" fontId="27" fillId="0" borderId="0" xfId="7" applyFont="1"/>
    <xf numFmtId="9" fontId="27" fillId="0" borderId="0" xfId="7" applyNumberFormat="1" applyFont="1"/>
    <xf numFmtId="165" fontId="23" fillId="0" borderId="0" xfId="7" applyNumberFormat="1"/>
    <xf numFmtId="0" fontId="9" fillId="0" borderId="0" xfId="2" applyAlignment="1"/>
    <xf numFmtId="0" fontId="0" fillId="0" borderId="0" xfId="0" applyBorder="1" applyAlignment="1"/>
    <xf numFmtId="170" fontId="9" fillId="0" borderId="0" xfId="6" applyNumberFormat="1" applyFont="1"/>
    <xf numFmtId="0" fontId="19" fillId="5" borderId="10" xfId="2" applyFont="1" applyFill="1" applyBorder="1" applyAlignment="1">
      <alignment horizontal="center"/>
    </xf>
    <xf numFmtId="0" fontId="0" fillId="0" borderId="0" xfId="0" applyFill="1" applyBorder="1" applyAlignment="1">
      <alignment vertical="top"/>
    </xf>
    <xf numFmtId="0" fontId="13" fillId="4" borderId="11" xfId="3" applyFont="1" applyFill="1" applyBorder="1" applyAlignment="1" applyProtection="1">
      <alignment horizontal="center" vertical="center"/>
      <protection locked="0"/>
    </xf>
    <xf numFmtId="0" fontId="31" fillId="0" borderId="0" xfId="2" applyFont="1"/>
    <xf numFmtId="164" fontId="31" fillId="0" borderId="0" xfId="2" applyNumberFormat="1" applyFont="1"/>
    <xf numFmtId="0" fontId="28" fillId="0" borderId="0" xfId="2" applyFont="1" applyAlignment="1">
      <alignment horizontal="left"/>
    </xf>
    <xf numFmtId="0" fontId="33" fillId="0" borderId="0" xfId="2" applyFont="1"/>
    <xf numFmtId="0" fontId="0" fillId="12" borderId="0" xfId="0" applyFill="1"/>
    <xf numFmtId="0" fontId="9" fillId="12" borderId="0" xfId="2" applyFill="1"/>
    <xf numFmtId="9" fontId="9" fillId="12" borderId="0" xfId="1" applyFont="1" applyFill="1"/>
    <xf numFmtId="9" fontId="10" fillId="12" borderId="0" xfId="4" applyFont="1" applyFill="1"/>
    <xf numFmtId="2" fontId="9" fillId="12" borderId="0" xfId="2" applyNumberFormat="1" applyFill="1"/>
    <xf numFmtId="0" fontId="17" fillId="4" borderId="12" xfId="3" applyFont="1" applyFill="1" applyBorder="1" applyAlignment="1" applyProtection="1">
      <alignment horizontal="center" vertical="center" wrapText="1"/>
      <protection locked="0"/>
    </xf>
    <xf numFmtId="0" fontId="39" fillId="12" borderId="0" xfId="2" applyFont="1" applyFill="1"/>
    <xf numFmtId="0" fontId="42" fillId="0" borderId="0" xfId="2" applyFont="1" applyAlignment="1">
      <alignment wrapText="1"/>
    </xf>
    <xf numFmtId="165" fontId="9" fillId="0" borderId="0" xfId="2" applyNumberFormat="1" applyAlignment="1">
      <alignment horizontal="center"/>
    </xf>
    <xf numFmtId="0" fontId="30" fillId="0" borderId="0" xfId="2" applyFont="1" applyFill="1" applyBorder="1" applyAlignment="1">
      <alignment horizontal="center"/>
    </xf>
    <xf numFmtId="9" fontId="15" fillId="0" borderId="0" xfId="1" applyFont="1" applyFill="1" applyBorder="1" applyAlignment="1">
      <alignment horizontal="center"/>
    </xf>
    <xf numFmtId="0" fontId="9" fillId="13" borderId="0" xfId="2" applyFill="1"/>
    <xf numFmtId="0" fontId="0" fillId="13" borderId="0" xfId="0" applyFill="1"/>
    <xf numFmtId="9" fontId="0" fillId="13" borderId="0" xfId="4" applyFont="1" applyFill="1"/>
    <xf numFmtId="0" fontId="30" fillId="6" borderId="23" xfId="2" applyFont="1" applyFill="1" applyBorder="1" applyAlignment="1">
      <alignment horizontal="center" wrapText="1"/>
    </xf>
    <xf numFmtId="0" fontId="46" fillId="0" borderId="0" xfId="2" applyFont="1" applyAlignment="1">
      <alignment horizontal="left"/>
    </xf>
    <xf numFmtId="2" fontId="46" fillId="0" borderId="0" xfId="2" applyNumberFormat="1" applyFont="1"/>
    <xf numFmtId="0" fontId="46" fillId="0" borderId="0" xfId="2" applyFont="1"/>
    <xf numFmtId="9" fontId="34" fillId="2" borderId="12" xfId="1" applyNumberFormat="1" applyFont="1" applyFill="1" applyBorder="1" applyAlignment="1">
      <alignment horizontal="center"/>
    </xf>
    <xf numFmtId="0" fontId="9" fillId="2" borderId="11" xfId="2" applyFill="1" applyBorder="1"/>
    <xf numFmtId="0" fontId="9" fillId="0" borderId="0" xfId="2" quotePrefix="1"/>
    <xf numFmtId="0" fontId="50" fillId="5" borderId="18" xfId="2" applyFont="1" applyFill="1" applyBorder="1" applyProtection="1"/>
    <xf numFmtId="0" fontId="50" fillId="5" borderId="14" xfId="2" applyFont="1" applyFill="1" applyBorder="1" applyProtection="1"/>
    <xf numFmtId="14" fontId="51" fillId="5" borderId="20" xfId="2" applyNumberFormat="1" applyFont="1" applyFill="1" applyBorder="1" applyAlignment="1" applyProtection="1">
      <alignment horizontal="left"/>
    </xf>
    <xf numFmtId="14" fontId="51" fillId="5" borderId="21" xfId="2" applyNumberFormat="1" applyFont="1" applyFill="1" applyBorder="1" applyAlignment="1" applyProtection="1">
      <alignment horizontal="left"/>
    </xf>
    <xf numFmtId="165" fontId="2" fillId="0" borderId="0" xfId="0" applyNumberFormat="1" applyFont="1" applyAlignment="1">
      <alignment horizontal="center"/>
    </xf>
    <xf numFmtId="2" fontId="2" fillId="0" borderId="0" xfId="0" applyNumberFormat="1" applyFont="1" applyAlignment="1">
      <alignment horizontal="center"/>
    </xf>
    <xf numFmtId="168" fontId="2" fillId="0" borderId="0" xfId="0" applyNumberFormat="1" applyFont="1" applyAlignment="1">
      <alignment horizontal="center"/>
    </xf>
    <xf numFmtId="168" fontId="0" fillId="0" borderId="0" xfId="1" applyNumberFormat="1" applyFont="1" applyAlignment="1">
      <alignment horizontal="center"/>
    </xf>
    <xf numFmtId="168" fontId="4" fillId="0" borderId="0" xfId="0" applyNumberFormat="1" applyFont="1" applyAlignment="1">
      <alignment horizontal="center" vertical="top" wrapText="1"/>
    </xf>
    <xf numFmtId="0" fontId="4" fillId="7" borderId="0" xfId="0" applyFont="1" applyFill="1" applyAlignment="1">
      <alignment horizontal="center" vertical="top" wrapText="1"/>
    </xf>
    <xf numFmtId="0" fontId="4" fillId="0" borderId="0" xfId="0" applyFont="1" applyFill="1" applyAlignment="1">
      <alignment vertical="top"/>
    </xf>
    <xf numFmtId="9" fontId="4" fillId="4" borderId="0" xfId="0" applyNumberFormat="1" applyFont="1" applyFill="1" applyAlignment="1">
      <alignment horizontal="center" vertical="top" wrapText="1"/>
    </xf>
    <xf numFmtId="0" fontId="4" fillId="0" borderId="0" xfId="0" applyFont="1" applyAlignment="1">
      <alignment horizontal="left" vertical="top"/>
    </xf>
    <xf numFmtId="0" fontId="4" fillId="14" borderId="0" xfId="0" applyFont="1" applyFill="1" applyAlignment="1">
      <alignment horizontal="left" vertical="top"/>
    </xf>
    <xf numFmtId="9" fontId="4" fillId="4" borderId="0" xfId="1" applyFont="1" applyFill="1" applyAlignment="1">
      <alignment horizontal="center" vertical="top" wrapText="1"/>
    </xf>
    <xf numFmtId="0" fontId="4" fillId="0" borderId="0" xfId="0" applyFont="1" applyAlignment="1">
      <alignment horizontal="left" vertical="top" wrapText="1"/>
    </xf>
    <xf numFmtId="20" fontId="0" fillId="0" borderId="4" xfId="0" quotePrefix="1" applyNumberFormat="1" applyBorder="1" applyAlignment="1">
      <alignment horizontal="right"/>
    </xf>
    <xf numFmtId="20" fontId="2" fillId="0" borderId="5" xfId="0" quotePrefix="1" applyNumberFormat="1" applyFont="1" applyBorder="1" applyAlignment="1">
      <alignment horizontal="right"/>
    </xf>
    <xf numFmtId="0" fontId="0" fillId="0" borderId="6" xfId="0" applyBorder="1"/>
    <xf numFmtId="0" fontId="0" fillId="0" borderId="7" xfId="0" applyBorder="1"/>
    <xf numFmtId="0" fontId="4" fillId="0" borderId="22" xfId="0" applyFont="1" applyBorder="1"/>
    <xf numFmtId="0" fontId="4" fillId="0" borderId="4" xfId="0" applyFont="1" applyBorder="1" applyAlignment="1">
      <alignment horizontal="right"/>
    </xf>
    <xf numFmtId="0" fontId="4" fillId="0" borderId="5" xfId="0" applyFont="1" applyBorder="1" applyAlignment="1">
      <alignment horizontal="right"/>
    </xf>
    <xf numFmtId="0" fontId="4" fillId="0" borderId="0" xfId="0" applyFont="1" applyAlignment="1">
      <alignment vertical="top"/>
    </xf>
    <xf numFmtId="0" fontId="2" fillId="0" borderId="23" xfId="0" applyFont="1" applyBorder="1"/>
    <xf numFmtId="0" fontId="0" fillId="15" borderId="6" xfId="0" applyFill="1" applyBorder="1"/>
    <xf numFmtId="0" fontId="0" fillId="15" borderId="7" xfId="0" applyFill="1" applyBorder="1"/>
    <xf numFmtId="169" fontId="2" fillId="0" borderId="0" xfId="1" applyNumberFormat="1" applyFont="1" applyAlignment="1">
      <alignment horizontal="center"/>
    </xf>
    <xf numFmtId="0" fontId="0" fillId="0" borderId="23" xfId="0" applyBorder="1"/>
    <xf numFmtId="168" fontId="0" fillId="7" borderId="0" xfId="0" applyNumberFormat="1" applyFill="1" applyAlignment="1">
      <alignment horizontal="center"/>
    </xf>
    <xf numFmtId="169" fontId="0" fillId="0" borderId="0" xfId="1" applyNumberFormat="1" applyFont="1" applyAlignment="1">
      <alignment horizontal="center"/>
    </xf>
    <xf numFmtId="165" fontId="0" fillId="0" borderId="6" xfId="0" applyNumberFormat="1" applyBorder="1"/>
    <xf numFmtId="165" fontId="0" fillId="0" borderId="7" xfId="0" applyNumberFormat="1" applyBorder="1"/>
    <xf numFmtId="0" fontId="2" fillId="0" borderId="13" xfId="0" applyFont="1" applyBorder="1"/>
    <xf numFmtId="165" fontId="0" fillId="16" borderId="8" xfId="0" applyNumberFormat="1" applyFill="1" applyBorder="1"/>
    <xf numFmtId="165" fontId="0" fillId="17" borderId="9" xfId="0" applyNumberFormat="1" applyFill="1" applyBorder="1"/>
    <xf numFmtId="0" fontId="0" fillId="0" borderId="4" xfId="0" applyBorder="1"/>
    <xf numFmtId="0" fontId="0" fillId="0" borderId="5" xfId="0" applyBorder="1"/>
    <xf numFmtId="1" fontId="0" fillId="0" borderId="6" xfId="0" applyNumberFormat="1" applyBorder="1" applyAlignment="1"/>
    <xf numFmtId="1" fontId="0" fillId="0" borderId="7" xfId="0" applyNumberFormat="1" applyBorder="1" applyAlignment="1"/>
    <xf numFmtId="0" fontId="0" fillId="15" borderId="6" xfId="0" applyFill="1" applyBorder="1" applyAlignment="1"/>
    <xf numFmtId="0" fontId="0" fillId="15" borderId="7" xfId="0" applyFill="1" applyBorder="1" applyAlignment="1"/>
    <xf numFmtId="165" fontId="0" fillId="0" borderId="6" xfId="0" applyNumberFormat="1" applyBorder="1" applyAlignment="1"/>
    <xf numFmtId="165" fontId="0" fillId="0" borderId="7" xfId="0" applyNumberFormat="1" applyBorder="1" applyAlignment="1"/>
    <xf numFmtId="0" fontId="0" fillId="14" borderId="24" xfId="0" applyFill="1" applyBorder="1" applyAlignment="1">
      <alignment horizontal="center"/>
    </xf>
    <xf numFmtId="0" fontId="0" fillId="14" borderId="25" xfId="0" applyFill="1" applyBorder="1" applyAlignment="1">
      <alignment horizontal="center"/>
    </xf>
    <xf numFmtId="168" fontId="0" fillId="14" borderId="25" xfId="0" applyNumberFormat="1" applyFill="1" applyBorder="1" applyAlignment="1">
      <alignment horizontal="center"/>
    </xf>
    <xf numFmtId="2" fontId="0" fillId="14" borderId="25" xfId="0" applyNumberFormat="1" applyFill="1" applyBorder="1" applyAlignment="1">
      <alignment horizontal="center"/>
    </xf>
    <xf numFmtId="0" fontId="4" fillId="0" borderId="26" xfId="0" applyFont="1" applyBorder="1" applyAlignment="1">
      <alignment horizontal="left"/>
    </xf>
    <xf numFmtId="165" fontId="0" fillId="16" borderId="2" xfId="0" applyNumberFormat="1" applyFill="1" applyBorder="1" applyAlignment="1">
      <alignment horizontal="right"/>
    </xf>
    <xf numFmtId="165" fontId="0" fillId="16" borderId="3" xfId="0" applyNumberFormat="1" applyFill="1" applyBorder="1" applyAlignment="1">
      <alignment horizontal="right"/>
    </xf>
    <xf numFmtId="0" fontId="4" fillId="0" borderId="0" xfId="0" applyFont="1" applyAlignment="1">
      <alignment horizontal="left"/>
    </xf>
    <xf numFmtId="9" fontId="0" fillId="0" borderId="0" xfId="1" applyFont="1" applyAlignment="1">
      <alignment horizontal="right"/>
    </xf>
    <xf numFmtId="0" fontId="7" fillId="0" borderId="0" xfId="0" applyFont="1" applyAlignment="1">
      <alignment horizontal="left"/>
    </xf>
    <xf numFmtId="169" fontId="7" fillId="7" borderId="0" xfId="1" applyNumberFormat="1" applyFont="1" applyFill="1" applyAlignment="1">
      <alignment horizontal="right"/>
    </xf>
    <xf numFmtId="9" fontId="0" fillId="0" borderId="0" xfId="0" applyNumberFormat="1" applyAlignment="1">
      <alignment horizontal="center"/>
    </xf>
    <xf numFmtId="2" fontId="0" fillId="7" borderId="0" xfId="0" applyNumberFormat="1" applyFill="1" applyAlignment="1">
      <alignment horizontal="center"/>
    </xf>
    <xf numFmtId="10" fontId="4" fillId="7" borderId="0" xfId="1" applyNumberFormat="1" applyFont="1" applyFill="1" applyAlignment="1">
      <alignment horizontal="center"/>
    </xf>
    <xf numFmtId="2" fontId="4" fillId="4" borderId="0" xfId="0" applyNumberFormat="1" applyFont="1" applyFill="1" applyAlignment="1">
      <alignment horizontal="center" vertical="top" wrapText="1"/>
    </xf>
    <xf numFmtId="0" fontId="20" fillId="0" borderId="10" xfId="2" applyFont="1" applyFill="1" applyBorder="1" applyAlignment="1">
      <alignment horizontal="center"/>
    </xf>
    <xf numFmtId="0" fontId="2" fillId="0" borderId="0" xfId="0" quotePrefix="1" applyFont="1" applyAlignment="1">
      <alignment horizontal="left"/>
    </xf>
    <xf numFmtId="9" fontId="30" fillId="0" borderId="0" xfId="2" applyNumberFormat="1" applyFont="1" applyFill="1" applyBorder="1" applyAlignment="1">
      <alignment horizontal="center"/>
    </xf>
    <xf numFmtId="9" fontId="9" fillId="0" borderId="0" xfId="1" applyFont="1"/>
    <xf numFmtId="0" fontId="2" fillId="0" borderId="0" xfId="0" applyFont="1" applyAlignment="1">
      <alignment horizontal="left" wrapText="1"/>
    </xf>
    <xf numFmtId="0" fontId="2" fillId="0" borderId="0" xfId="0" applyFont="1" applyAlignment="1">
      <alignment horizontal="center" wrapText="1"/>
    </xf>
    <xf numFmtId="0" fontId="9" fillId="0" borderId="0" xfId="2" applyAlignment="1">
      <alignment horizontal="left"/>
    </xf>
    <xf numFmtId="0" fontId="4" fillId="7" borderId="0" xfId="0" applyFont="1" applyFill="1" applyAlignment="1">
      <alignment horizontal="center" vertical="top" wrapText="1"/>
    </xf>
    <xf numFmtId="169" fontId="4" fillId="4" borderId="0" xfId="1" applyNumberFormat="1" applyFont="1" applyFill="1" applyAlignment="1">
      <alignment horizontal="center" vertical="top" wrapText="1"/>
    </xf>
    <xf numFmtId="169" fontId="2" fillId="0" borderId="0" xfId="0" applyNumberFormat="1" applyFont="1" applyAlignment="1">
      <alignment horizontal="center" wrapText="1"/>
    </xf>
    <xf numFmtId="9" fontId="13" fillId="2" borderId="0" xfId="1" applyFont="1" applyFill="1" applyAlignment="1">
      <alignment horizontal="center"/>
    </xf>
    <xf numFmtId="0" fontId="2" fillId="19" borderId="0" xfId="0" applyFont="1" applyFill="1" applyAlignment="1">
      <alignment horizontal="center" wrapText="1"/>
    </xf>
    <xf numFmtId="168" fontId="0" fillId="19" borderId="0" xfId="0" applyNumberFormat="1" applyFill="1" applyAlignment="1">
      <alignment horizontal="center"/>
    </xf>
    <xf numFmtId="0" fontId="0" fillId="19" borderId="0" xfId="0" applyFill="1" applyAlignment="1">
      <alignment horizontal="center"/>
    </xf>
    <xf numFmtId="0" fontId="2" fillId="19" borderId="0" xfId="0" applyFont="1" applyFill="1" applyAlignment="1">
      <alignment horizontal="center"/>
    </xf>
    <xf numFmtId="2" fontId="0" fillId="19" borderId="0" xfId="0" applyNumberFormat="1" applyFill="1" applyAlignment="1">
      <alignment horizontal="center"/>
    </xf>
    <xf numFmtId="10" fontId="4" fillId="19" borderId="0" xfId="1" applyNumberFormat="1" applyFont="1" applyFill="1" applyAlignment="1">
      <alignment horizontal="center"/>
    </xf>
    <xf numFmtId="168" fontId="0" fillId="5" borderId="0" xfId="0" applyNumberFormat="1" applyFill="1" applyAlignment="1">
      <alignment horizontal="center"/>
    </xf>
    <xf numFmtId="169" fontId="9" fillId="2" borderId="12" xfId="1" applyNumberFormat="1" applyFont="1" applyFill="1" applyBorder="1"/>
    <xf numFmtId="2" fontId="2" fillId="5" borderId="0" xfId="0" applyNumberFormat="1" applyFont="1" applyFill="1" applyAlignment="1">
      <alignment horizontal="center"/>
    </xf>
    <xf numFmtId="2" fontId="13" fillId="0" borderId="0" xfId="2" applyNumberFormat="1" applyFont="1" applyProtection="1">
      <protection locked="0"/>
    </xf>
    <xf numFmtId="2" fontId="38" fillId="0" borderId="0" xfId="2" applyNumberFormat="1" applyFont="1" applyAlignment="1" applyProtection="1">
      <protection locked="0"/>
    </xf>
    <xf numFmtId="0" fontId="9" fillId="0" borderId="0" xfId="2" applyProtection="1">
      <protection locked="0"/>
    </xf>
    <xf numFmtId="0" fontId="9" fillId="0" borderId="0" xfId="2" applyBorder="1"/>
    <xf numFmtId="2" fontId="9" fillId="0" borderId="0" xfId="2" applyNumberFormat="1" applyBorder="1"/>
    <xf numFmtId="9" fontId="13" fillId="2" borderId="11" xfId="1" applyNumberFormat="1" applyFont="1" applyFill="1" applyBorder="1" applyAlignment="1">
      <alignment horizontal="center"/>
    </xf>
    <xf numFmtId="9" fontId="13" fillId="2" borderId="12" xfId="3" applyNumberFormat="1" applyFont="1" applyFill="1" applyBorder="1" applyAlignment="1" applyProtection="1">
      <alignment horizontal="center" vertical="center"/>
      <protection locked="0"/>
    </xf>
    <xf numFmtId="10" fontId="9" fillId="12" borderId="0" xfId="2" quotePrefix="1" applyNumberFormat="1" applyFill="1"/>
    <xf numFmtId="0" fontId="0" fillId="2" borderId="0" xfId="0" applyFill="1" applyAlignment="1">
      <alignment wrapText="1"/>
    </xf>
    <xf numFmtId="168" fontId="0" fillId="2" borderId="0" xfId="1" applyNumberFormat="1" applyFont="1" applyFill="1" applyAlignment="1">
      <alignment horizontal="center"/>
    </xf>
    <xf numFmtId="169" fontId="4" fillId="2" borderId="0" xfId="1" applyNumberFormat="1" applyFont="1" applyFill="1" applyAlignment="1">
      <alignment horizontal="center" vertical="top" wrapText="1"/>
    </xf>
    <xf numFmtId="0" fontId="2" fillId="2" borderId="0" xfId="0" applyFont="1" applyFill="1" applyAlignment="1">
      <alignment horizontal="center"/>
    </xf>
    <xf numFmtId="168" fontId="0" fillId="2" borderId="0" xfId="0" applyNumberFormat="1" applyFill="1" applyAlignment="1">
      <alignment horizontal="center"/>
    </xf>
    <xf numFmtId="10" fontId="4" fillId="2" borderId="0" xfId="1" applyNumberFormat="1" applyFont="1" applyFill="1" applyAlignment="1">
      <alignment horizontal="center"/>
    </xf>
    <xf numFmtId="168" fontId="9" fillId="0" borderId="0" xfId="2" applyNumberFormat="1" applyAlignment="1">
      <alignment horizontal="left"/>
    </xf>
    <xf numFmtId="9" fontId="11" fillId="2" borderId="13" xfId="1" applyNumberFormat="1" applyFont="1" applyFill="1" applyBorder="1" applyAlignment="1">
      <alignment horizontal="center"/>
    </xf>
    <xf numFmtId="0" fontId="9" fillId="13" borderId="0" xfId="2" applyFill="1" applyBorder="1"/>
    <xf numFmtId="0" fontId="13" fillId="4" borderId="0" xfId="3" applyFont="1" applyFill="1" applyBorder="1" applyAlignment="1" applyProtection="1">
      <alignment horizontal="center" vertical="center"/>
      <protection locked="0"/>
    </xf>
    <xf numFmtId="0" fontId="9" fillId="4" borderId="28" xfId="2" applyFill="1" applyBorder="1"/>
    <xf numFmtId="0" fontId="9" fillId="4" borderId="29" xfId="2" applyFill="1" applyBorder="1"/>
    <xf numFmtId="0" fontId="9" fillId="4" borderId="30" xfId="2" applyFill="1" applyBorder="1"/>
    <xf numFmtId="171" fontId="0" fillId="2" borderId="0" xfId="0" applyNumberFormat="1" applyFill="1" applyAlignment="1">
      <alignment horizontal="center"/>
    </xf>
    <xf numFmtId="168" fontId="2" fillId="2" borderId="0" xfId="0" applyNumberFormat="1" applyFont="1" applyFill="1" applyAlignment="1">
      <alignment horizontal="center"/>
    </xf>
    <xf numFmtId="168" fontId="4" fillId="2" borderId="0" xfId="0" applyNumberFormat="1" applyFont="1" applyFill="1" applyAlignment="1">
      <alignment horizontal="center" vertical="top" wrapText="1"/>
    </xf>
    <xf numFmtId="169" fontId="2" fillId="2" borderId="0" xfId="0" applyNumberFormat="1" applyFont="1" applyFill="1" applyAlignment="1">
      <alignment horizontal="center"/>
    </xf>
    <xf numFmtId="2" fontId="4" fillId="4" borderId="0" xfId="1" applyNumberFormat="1" applyFont="1" applyFill="1" applyAlignment="1">
      <alignment horizontal="center" vertical="top" wrapText="1"/>
    </xf>
    <xf numFmtId="168" fontId="2" fillId="5" borderId="0" xfId="0" applyNumberFormat="1" applyFont="1" applyFill="1" applyAlignment="1">
      <alignment horizontal="center"/>
    </xf>
    <xf numFmtId="0" fontId="29" fillId="0" borderId="0" xfId="2" applyFont="1"/>
    <xf numFmtId="0" fontId="0" fillId="0" borderId="0" xfId="0" applyFill="1" applyBorder="1" applyAlignment="1">
      <alignment horizontal="center"/>
    </xf>
    <xf numFmtId="0" fontId="11" fillId="13" borderId="0" xfId="2" applyFont="1" applyFill="1"/>
    <xf numFmtId="0" fontId="9" fillId="11" borderId="0" xfId="2" applyFill="1"/>
    <xf numFmtId="0" fontId="44" fillId="11" borderId="0" xfId="0" applyFont="1" applyFill="1"/>
    <xf numFmtId="0" fontId="45" fillId="11" borderId="0" xfId="0" applyFont="1" applyFill="1"/>
    <xf numFmtId="0" fontId="9" fillId="0" borderId="0" xfId="2" applyFont="1" applyFill="1"/>
    <xf numFmtId="0" fontId="10" fillId="0" borderId="0" xfId="2" applyFont="1" applyFill="1"/>
    <xf numFmtId="0" fontId="11" fillId="0" borderId="0" xfId="2" applyFont="1" applyFill="1"/>
    <xf numFmtId="0" fontId="58" fillId="20" borderId="27" xfId="2" applyFont="1" applyFill="1" applyBorder="1"/>
    <xf numFmtId="0" fontId="59" fillId="18" borderId="12" xfId="2" applyFont="1" applyFill="1" applyBorder="1" applyAlignment="1">
      <alignment horizontal="center"/>
    </xf>
    <xf numFmtId="0" fontId="55" fillId="21" borderId="10" xfId="2" applyFont="1" applyFill="1" applyBorder="1" applyAlignment="1">
      <alignment horizontal="center"/>
    </xf>
    <xf numFmtId="9" fontId="0" fillId="0" borderId="0" xfId="1" applyFont="1" applyAlignment="1">
      <alignment horizontal="center"/>
    </xf>
    <xf numFmtId="10" fontId="0" fillId="0" borderId="0" xfId="0" applyNumberFormat="1" applyAlignment="1">
      <alignment horizontal="center"/>
    </xf>
    <xf numFmtId="0" fontId="55" fillId="21" borderId="22" xfId="2" applyFont="1" applyFill="1" applyBorder="1" applyAlignment="1">
      <alignment horizontal="center"/>
    </xf>
    <xf numFmtId="0" fontId="59" fillId="18" borderId="13" xfId="2" applyFont="1" applyFill="1" applyBorder="1" applyAlignment="1">
      <alignment horizontal="center"/>
    </xf>
    <xf numFmtId="0" fontId="61" fillId="13" borderId="0" xfId="0" applyFont="1" applyFill="1"/>
    <xf numFmtId="0" fontId="9" fillId="13" borderId="0" xfId="2" quotePrefix="1" applyFill="1"/>
    <xf numFmtId="0" fontId="28" fillId="0" borderId="0" xfId="2" applyFont="1"/>
    <xf numFmtId="0" fontId="62" fillId="0" borderId="0" xfId="0" applyFont="1"/>
    <xf numFmtId="0" fontId="28" fillId="0" borderId="0" xfId="2" applyFont="1" applyBorder="1" applyAlignment="1">
      <alignment horizontal="center" vertical="center" wrapText="1"/>
    </xf>
    <xf numFmtId="0" fontId="28" fillId="0" borderId="0" xfId="2" applyFont="1" applyBorder="1" applyAlignment="1">
      <alignment vertical="center" wrapText="1"/>
    </xf>
    <xf numFmtId="0" fontId="36" fillId="0" borderId="0" xfId="0" applyFont="1" applyAlignment="1">
      <alignment vertical="center"/>
    </xf>
    <xf numFmtId="0" fontId="37" fillId="0" borderId="0" xfId="0" applyFont="1" applyBorder="1" applyAlignment="1">
      <alignment horizontal="center" vertical="center"/>
    </xf>
    <xf numFmtId="0" fontId="57" fillId="12" borderId="0" xfId="0" applyFont="1" applyFill="1" applyAlignment="1">
      <alignment horizontal="left"/>
    </xf>
    <xf numFmtId="165" fontId="23" fillId="19" borderId="0" xfId="7" applyNumberFormat="1" applyFill="1"/>
    <xf numFmtId="0" fontId="63" fillId="0" borderId="0" xfId="2" quotePrefix="1" applyFont="1"/>
    <xf numFmtId="169" fontId="4" fillId="3" borderId="0" xfId="1" applyNumberFormat="1" applyFont="1" applyFill="1" applyAlignment="1">
      <alignment horizontal="center" vertical="top" wrapText="1"/>
    </xf>
    <xf numFmtId="172" fontId="4" fillId="19" borderId="0" xfId="1" applyNumberFormat="1" applyFont="1" applyFill="1" applyAlignment="1">
      <alignment horizontal="center" vertical="top" wrapText="1"/>
    </xf>
    <xf numFmtId="0" fontId="50" fillId="4" borderId="17" xfId="2" applyFont="1" applyFill="1" applyBorder="1" applyProtection="1">
      <protection locked="0"/>
    </xf>
    <xf numFmtId="0" fontId="50" fillId="4" borderId="19" xfId="2" applyFont="1" applyFill="1" applyBorder="1" applyProtection="1">
      <protection locked="0"/>
    </xf>
    <xf numFmtId="0" fontId="37" fillId="5" borderId="16" xfId="0" applyFont="1" applyFill="1" applyBorder="1" applyAlignment="1"/>
    <xf numFmtId="0" fontId="37" fillId="5" borderId="18" xfId="0" applyFont="1" applyFill="1" applyBorder="1" applyAlignment="1"/>
    <xf numFmtId="0" fontId="48" fillId="5" borderId="19" xfId="2" applyFont="1" applyFill="1" applyBorder="1" applyAlignment="1">
      <alignment horizontal="left" vertical="center"/>
    </xf>
    <xf numFmtId="0" fontId="37" fillId="5" borderId="14" xfId="0" applyFont="1" applyFill="1" applyBorder="1" applyAlignment="1">
      <alignment horizontal="left" vertical="center"/>
    </xf>
    <xf numFmtId="0" fontId="48" fillId="5" borderId="19" xfId="2" applyFont="1" applyFill="1" applyBorder="1" applyAlignment="1"/>
    <xf numFmtId="0" fontId="65" fillId="5" borderId="14" xfId="0" applyFont="1" applyFill="1" applyBorder="1" applyAlignment="1"/>
    <xf numFmtId="0" fontId="48" fillId="5" borderId="20" xfId="2" applyFont="1" applyFill="1" applyBorder="1" applyAlignment="1"/>
    <xf numFmtId="0" fontId="0" fillId="5" borderId="15" xfId="0" applyFill="1" applyBorder="1" applyAlignment="1"/>
    <xf numFmtId="0" fontId="9" fillId="5" borderId="15" xfId="2" applyFill="1" applyBorder="1" applyAlignment="1"/>
    <xf numFmtId="0" fontId="9" fillId="5" borderId="21" xfId="2" applyFill="1" applyBorder="1" applyAlignment="1"/>
    <xf numFmtId="9" fontId="9" fillId="0" borderId="0" xfId="1" applyFont="1" applyAlignment="1">
      <alignment horizontal="center" vertical="top"/>
    </xf>
    <xf numFmtId="0" fontId="10" fillId="12" borderId="17" xfId="2" applyFont="1" applyFill="1" applyBorder="1"/>
    <xf numFmtId="0" fontId="37" fillId="5" borderId="0" xfId="0" applyFont="1" applyFill="1" applyBorder="1" applyAlignment="1"/>
    <xf numFmtId="0" fontId="37" fillId="5" borderId="0" xfId="0" applyFont="1" applyFill="1" applyBorder="1" applyAlignment="1">
      <alignment horizontal="left" vertical="center"/>
    </xf>
    <xf numFmtId="0" fontId="65" fillId="5" borderId="0" xfId="0" applyFont="1" applyFill="1" applyBorder="1" applyAlignment="1"/>
    <xf numFmtId="0" fontId="37" fillId="5" borderId="14" xfId="0" applyFont="1" applyFill="1" applyBorder="1" applyAlignment="1"/>
    <xf numFmtId="0" fontId="17" fillId="4" borderId="0" xfId="3" applyFont="1" applyFill="1" applyBorder="1" applyAlignment="1" applyProtection="1">
      <alignment horizontal="center" vertical="center" wrapText="1"/>
      <protection locked="0"/>
    </xf>
    <xf numFmtId="0" fontId="17" fillId="4" borderId="15" xfId="3" applyFont="1" applyFill="1" applyBorder="1" applyAlignment="1" applyProtection="1">
      <alignment horizontal="center" vertical="center" wrapText="1"/>
      <protection locked="0"/>
    </xf>
    <xf numFmtId="0" fontId="29" fillId="10" borderId="0" xfId="2" applyFont="1" applyFill="1" applyAlignment="1">
      <alignment horizontal="center" vertical="center" wrapText="1"/>
    </xf>
    <xf numFmtId="0" fontId="35" fillId="0" borderId="0" xfId="0" applyFont="1" applyAlignment="1">
      <alignment vertical="center" wrapText="1"/>
    </xf>
    <xf numFmtId="0" fontId="56" fillId="12" borderId="0" xfId="0" applyFont="1" applyFill="1" applyAlignment="1">
      <alignment horizontal="left" wrapText="1"/>
    </xf>
    <xf numFmtId="0" fontId="0" fillId="0" borderId="0" xfId="0" applyAlignment="1">
      <alignment horizontal="left" wrapText="1"/>
    </xf>
    <xf numFmtId="0" fontId="0" fillId="0" borderId="0" xfId="0" applyAlignment="1"/>
    <xf numFmtId="0" fontId="40" fillId="2" borderId="10" xfId="2" applyFont="1" applyFill="1" applyBorder="1" applyAlignment="1">
      <alignment horizontal="center" vertical="center" textRotation="180"/>
    </xf>
    <xf numFmtId="0" fontId="41" fillId="0" borderId="12" xfId="0" applyFont="1" applyBorder="1" applyAlignment="1">
      <alignment horizontal="center" vertical="center" textRotation="180"/>
    </xf>
    <xf numFmtId="0" fontId="0" fillId="0" borderId="12" xfId="0" applyBorder="1" applyAlignment="1"/>
    <xf numFmtId="0" fontId="28" fillId="0" borderId="0" xfId="2" applyFont="1" applyAlignment="1"/>
    <xf numFmtId="0" fontId="60" fillId="0" borderId="0" xfId="0" applyFont="1" applyAlignment="1"/>
    <xf numFmtId="0" fontId="28" fillId="0" borderId="0" xfId="2" applyFont="1" applyAlignment="1">
      <alignment wrapText="1"/>
    </xf>
    <xf numFmtId="0" fontId="60" fillId="0" borderId="0" xfId="0" applyFont="1" applyAlignment="1">
      <alignment wrapText="1"/>
    </xf>
    <xf numFmtId="0" fontId="28" fillId="0" borderId="0" xfId="2" applyFont="1" applyAlignment="1">
      <alignment vertical="center" wrapText="1"/>
    </xf>
    <xf numFmtId="0" fontId="0" fillId="0" borderId="0" xfId="0" applyAlignment="1">
      <alignment wrapText="1"/>
    </xf>
    <xf numFmtId="0" fontId="13" fillId="0" borderId="0" xfId="2" applyFont="1" applyBorder="1" applyAlignment="1">
      <alignment wrapText="1"/>
    </xf>
    <xf numFmtId="0" fontId="4" fillId="0" borderId="0" xfId="0" applyFont="1" applyAlignment="1">
      <alignment wrapText="1"/>
    </xf>
    <xf numFmtId="0" fontId="63" fillId="0" borderId="0" xfId="2" applyFont="1" applyAlignment="1">
      <alignment horizontal="left" wrapText="1"/>
    </xf>
    <xf numFmtId="0" fontId="64" fillId="0" borderId="0" xfId="0" applyFont="1" applyAlignment="1">
      <alignment horizontal="left" wrapText="1"/>
    </xf>
    <xf numFmtId="165" fontId="28" fillId="0" borderId="0" xfId="0" applyNumberFormat="1" applyFont="1" applyBorder="1" applyAlignment="1">
      <alignment horizontal="center" wrapText="1"/>
    </xf>
    <xf numFmtId="0" fontId="28" fillId="0" borderId="0" xfId="0" applyFont="1" applyAlignment="1">
      <alignment wrapText="1"/>
    </xf>
    <xf numFmtId="0" fontId="28" fillId="0" borderId="14" xfId="0" applyFont="1" applyBorder="1" applyAlignment="1">
      <alignment wrapText="1"/>
    </xf>
    <xf numFmtId="0" fontId="28" fillId="0" borderId="19" xfId="2" quotePrefix="1" applyFont="1" applyBorder="1" applyAlignment="1">
      <alignment wrapText="1"/>
    </xf>
    <xf numFmtId="0" fontId="36" fillId="0" borderId="0" xfId="0" applyFont="1" applyAlignment="1"/>
    <xf numFmtId="0" fontId="36" fillId="0" borderId="0" xfId="0" applyFont="1" applyBorder="1" applyAlignment="1"/>
    <xf numFmtId="0" fontId="0" fillId="0" borderId="19" xfId="0" applyBorder="1" applyAlignment="1"/>
    <xf numFmtId="0" fontId="60" fillId="0" borderId="14" xfId="0" applyFont="1" applyBorder="1" applyAlignment="1">
      <alignment wrapText="1"/>
    </xf>
    <xf numFmtId="0" fontId="4" fillId="14" borderId="0" xfId="0" applyFont="1" applyFill="1" applyAlignment="1">
      <alignment horizontal="left" vertical="top"/>
    </xf>
    <xf numFmtId="0" fontId="4" fillId="0" borderId="0" xfId="0" applyFont="1" applyFill="1" applyAlignment="1">
      <alignment horizontal="center" vertical="top" wrapText="1"/>
    </xf>
    <xf numFmtId="0" fontId="4" fillId="7" borderId="0" xfId="0" applyFont="1" applyFill="1" applyAlignment="1">
      <alignment horizontal="center" vertical="top" wrapText="1"/>
    </xf>
  </cellXfs>
  <cellStyles count="8">
    <cellStyle name="Komma" xfId="6" builtinId="3"/>
    <cellStyle name="Procent" xfId="1" builtinId="5"/>
    <cellStyle name="Procent 2" xfId="4"/>
    <cellStyle name="Standaard" xfId="0" builtinId="0"/>
    <cellStyle name="Standaard 2" xfId="2"/>
    <cellStyle name="Standaard 2 2" xfId="3"/>
    <cellStyle name="Standaard 3" xfId="5"/>
    <cellStyle name="Standaard 4" xfId="7"/>
  </cellStyles>
  <dxfs count="0"/>
  <tableStyles count="0" defaultTableStyle="TableStyleMedium2" defaultPivotStyle="PivotStyleLight16"/>
  <colors>
    <mruColors>
      <color rgb="FF0070C0"/>
      <color rgb="FF8064A2"/>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8403619663504"/>
          <c:y val="7.8788111943986577E-2"/>
          <c:w val="0.84879867509442641"/>
          <c:h val="0.71212331949372487"/>
        </c:manualLayout>
      </c:layout>
      <c:scatterChart>
        <c:scatterStyle val="lineMarker"/>
        <c:varyColors val="0"/>
        <c:ser>
          <c:idx val="0"/>
          <c:order val="0"/>
          <c:spPr>
            <a:ln w="28575">
              <a:noFill/>
            </a:ln>
          </c:spPr>
          <c:marker>
            <c:symbol val="diamond"/>
            <c:size val="5"/>
            <c:spPr>
              <a:solidFill>
                <a:schemeClr val="tx1"/>
              </a:solidFill>
              <a:ln>
                <a:solidFill>
                  <a:schemeClr val="tx1"/>
                </a:solidFill>
                <a:prstDash val="solid"/>
              </a:ln>
            </c:spPr>
          </c:marker>
          <c:trendline>
            <c:spPr>
              <a:ln w="12700">
                <a:solidFill>
                  <a:srgbClr val="000000"/>
                </a:solidFill>
                <a:prstDash val="solid"/>
              </a:ln>
            </c:spPr>
            <c:trendlineType val="exp"/>
            <c:dispRSqr val="1"/>
            <c:dispEq val="1"/>
            <c:trendlineLbl>
              <c:layout>
                <c:manualLayout>
                  <c:x val="-0.32360573635311107"/>
                  <c:y val="6.1781103090388007E-2"/>
                </c:manualLayout>
              </c:layout>
              <c:numFmt formatCode="General" sourceLinked="0"/>
              <c:spPr>
                <a:noFill/>
                <a:ln w="25400">
                  <a:noFill/>
                </a:ln>
              </c:spPr>
            </c:trendlineLbl>
          </c:trendline>
          <c:xVal>
            <c:numRef>
              <c:f>vkod!$T$2:$T$14</c:f>
              <c:numCache>
                <c:formatCode>0.0</c:formatCode>
                <c:ptCount val="13"/>
                <c:pt idx="0">
                  <c:v>15.487083333333331</c:v>
                </c:pt>
                <c:pt idx="1">
                  <c:v>17.772500000000001</c:v>
                </c:pt>
                <c:pt idx="2">
                  <c:v>12.180833333333334</c:v>
                </c:pt>
                <c:pt idx="3">
                  <c:v>10.095000000000001</c:v>
                </c:pt>
                <c:pt idx="5">
                  <c:v>6.6371666666666664</c:v>
                </c:pt>
                <c:pt idx="6">
                  <c:v>15.487083333333331</c:v>
                </c:pt>
                <c:pt idx="7">
                  <c:v>14.811979166666674</c:v>
                </c:pt>
                <c:pt idx="8">
                  <c:v>15.842916666666662</c:v>
                </c:pt>
                <c:pt idx="9">
                  <c:v>11.226208333333332</c:v>
                </c:pt>
                <c:pt idx="10">
                  <c:v>9.0591304347826078</c:v>
                </c:pt>
                <c:pt idx="11">
                  <c:v>2.3603333333333332</c:v>
                </c:pt>
                <c:pt idx="12">
                  <c:v>-0.37458333333333343</c:v>
                </c:pt>
              </c:numCache>
            </c:numRef>
          </c:xVal>
          <c:yVal>
            <c:numRef>
              <c:f>vkod!$U$2:$U$14</c:f>
              <c:numCache>
                <c:formatCode>0.00</c:formatCode>
                <c:ptCount val="13"/>
                <c:pt idx="0">
                  <c:v>6.874876718089352</c:v>
                </c:pt>
                <c:pt idx="1">
                  <c:v>7.7987695662297174</c:v>
                </c:pt>
                <c:pt idx="2">
                  <c:v>3.0666550367894136</c:v>
                </c:pt>
                <c:pt idx="3">
                  <c:v>2.4049341564796172</c:v>
                </c:pt>
                <c:pt idx="4">
                  <c:v>1.5250636139989062</c:v>
                </c:pt>
                <c:pt idx="5">
                  <c:v>1.772216510189637</c:v>
                </c:pt>
                <c:pt idx="6">
                  <c:v>8.7370979665129838</c:v>
                </c:pt>
                <c:pt idx="7">
                  <c:v>5.5627974416682697</c:v>
                </c:pt>
                <c:pt idx="8">
                  <c:v>7.4018185763108084</c:v>
                </c:pt>
                <c:pt idx="9">
                  <c:v>3.1837331440241154</c:v>
                </c:pt>
                <c:pt idx="10">
                  <c:v>2.4933302924120038</c:v>
                </c:pt>
                <c:pt idx="11">
                  <c:v>1.2172498686424815</c:v>
                </c:pt>
                <c:pt idx="12">
                  <c:v>1.8181172965341552</c:v>
                </c:pt>
              </c:numCache>
            </c:numRef>
          </c:yVal>
          <c:smooth val="0"/>
          <c:extLst>
            <c:ext xmlns:c16="http://schemas.microsoft.com/office/drawing/2014/chart" uri="{C3380CC4-5D6E-409C-BE32-E72D297353CC}">
              <c16:uniqueId val="{00000000-D4B4-40A0-B363-2A5CCEBE2689}"/>
            </c:ext>
          </c:extLst>
        </c:ser>
        <c:dLbls>
          <c:showLegendKey val="0"/>
          <c:showVal val="0"/>
          <c:showCatName val="0"/>
          <c:showSerName val="0"/>
          <c:showPercent val="0"/>
          <c:showBubbleSize val="0"/>
        </c:dLbls>
        <c:axId val="480842920"/>
        <c:axId val="480844096"/>
      </c:scatterChart>
      <c:valAx>
        <c:axId val="480842920"/>
        <c:scaling>
          <c:orientation val="minMax"/>
        </c:scaling>
        <c:delete val="0"/>
        <c:axPos val="b"/>
        <c:title>
          <c:tx>
            <c:rich>
              <a:bodyPr/>
              <a:lstStyle/>
              <a:p>
                <a:pPr>
                  <a:defRPr/>
                </a:pPr>
                <a:r>
                  <a:rPr lang="en-GB"/>
                  <a:t>Buiten temperatuur</a:t>
                </a:r>
              </a:p>
            </c:rich>
          </c:tx>
          <c:layout>
            <c:manualLayout>
              <c:xMode val="edge"/>
              <c:yMode val="edge"/>
              <c:x val="0.42783577310568133"/>
              <c:y val="0.884851029984888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nl-NL"/>
          </a:p>
        </c:txPr>
        <c:crossAx val="480844096"/>
        <c:crosses val="autoZero"/>
        <c:crossBetween val="midCat"/>
      </c:valAx>
      <c:valAx>
        <c:axId val="480844096"/>
        <c:scaling>
          <c:orientation val="minMax"/>
        </c:scaling>
        <c:delete val="0"/>
        <c:axPos val="l"/>
        <c:title>
          <c:tx>
            <c:rich>
              <a:bodyPr/>
              <a:lstStyle/>
              <a:p>
                <a:pPr>
                  <a:defRPr/>
                </a:pPr>
                <a:r>
                  <a:rPr lang="en-GB"/>
                  <a:t>Debiet (m3/uur/dier)</a:t>
                </a:r>
              </a:p>
            </c:rich>
          </c:tx>
          <c:layout>
            <c:manualLayout>
              <c:xMode val="edge"/>
              <c:yMode val="edge"/>
              <c:x val="2.7491408934707903E-2"/>
              <c:y val="0.23636427264773721"/>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a:pPr>
            <a:endParaRPr lang="nl-NL"/>
          </a:p>
        </c:txPr>
        <c:crossAx val="4808429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66943135364571"/>
          <c:y val="7.5301204819277115E-2"/>
          <c:w val="0.8110244015905681"/>
          <c:h val="0.73493975903614461"/>
        </c:manualLayout>
      </c:layout>
      <c:scatterChart>
        <c:scatterStyle val="lineMarker"/>
        <c:varyColors val="0"/>
        <c:ser>
          <c:idx val="1"/>
          <c:order val="0"/>
          <c:tx>
            <c:strRef>
              <c:f>vkod!$V$1</c:f>
              <c:strCache>
                <c:ptCount val="1"/>
                <c:pt idx="0">
                  <c:v>PM10</c:v>
                </c:pt>
              </c:strCache>
            </c:strRef>
          </c:tx>
          <c:spPr>
            <a:ln w="28575">
              <a:noFill/>
            </a:ln>
          </c:spPr>
          <c:marker>
            <c:symbol val="square"/>
            <c:size val="4"/>
            <c:spPr>
              <a:solidFill>
                <a:schemeClr val="tx1"/>
              </a:solidFill>
              <a:ln>
                <a:solidFill>
                  <a:schemeClr val="tx1"/>
                </a:solidFill>
                <a:prstDash val="solid"/>
              </a:ln>
            </c:spPr>
          </c:marker>
          <c:trendline>
            <c:spPr>
              <a:ln w="12700">
                <a:solidFill>
                  <a:srgbClr val="000000"/>
                </a:solidFill>
                <a:prstDash val="solid"/>
              </a:ln>
            </c:spPr>
            <c:trendlineType val="linear"/>
            <c:dispRSqr val="1"/>
            <c:dispEq val="1"/>
            <c:trendlineLbl>
              <c:layout>
                <c:manualLayout>
                  <c:x val="-0.17223958956417185"/>
                  <c:y val="-0.31046706511083705"/>
                </c:manualLayout>
              </c:layout>
              <c:numFmt formatCode="General" sourceLinked="0"/>
              <c:spPr>
                <a:noFill/>
                <a:ln w="25400">
                  <a:noFill/>
                </a:ln>
              </c:spPr>
            </c:trendlineLbl>
          </c:trendline>
          <c:xVal>
            <c:numRef>
              <c:f>vkod!$T$2:$T$14</c:f>
              <c:numCache>
                <c:formatCode>0.0</c:formatCode>
                <c:ptCount val="13"/>
                <c:pt idx="0">
                  <c:v>15.487083333333331</c:v>
                </c:pt>
                <c:pt idx="1">
                  <c:v>17.772500000000001</c:v>
                </c:pt>
                <c:pt idx="2">
                  <c:v>12.180833333333334</c:v>
                </c:pt>
                <c:pt idx="3">
                  <c:v>10.095000000000001</c:v>
                </c:pt>
                <c:pt idx="5">
                  <c:v>6.6371666666666664</c:v>
                </c:pt>
                <c:pt idx="6">
                  <c:v>15.487083333333331</c:v>
                </c:pt>
                <c:pt idx="7">
                  <c:v>14.811979166666674</c:v>
                </c:pt>
                <c:pt idx="8">
                  <c:v>15.842916666666662</c:v>
                </c:pt>
                <c:pt idx="9">
                  <c:v>11.226208333333332</c:v>
                </c:pt>
                <c:pt idx="10">
                  <c:v>9.0591304347826078</c:v>
                </c:pt>
                <c:pt idx="11">
                  <c:v>2.3603333333333332</c:v>
                </c:pt>
                <c:pt idx="12">
                  <c:v>-0.37458333333333343</c:v>
                </c:pt>
              </c:numCache>
            </c:numRef>
          </c:xVal>
          <c:yVal>
            <c:numRef>
              <c:f>vkod!$V$2:$V$14</c:f>
              <c:numCache>
                <c:formatCode>0.000</c:formatCode>
                <c:ptCount val="13"/>
                <c:pt idx="0">
                  <c:v>2.677237202793155</c:v>
                </c:pt>
                <c:pt idx="1">
                  <c:v>0.89465756417496589</c:v>
                </c:pt>
                <c:pt idx="2">
                  <c:v>1.1368264338913063</c:v>
                </c:pt>
                <c:pt idx="3">
                  <c:v>1.0679618400610718</c:v>
                </c:pt>
                <c:pt idx="4">
                  <c:v>1.585921432928634</c:v>
                </c:pt>
                <c:pt idx="5">
                  <c:v>1.9792349413598105</c:v>
                </c:pt>
                <c:pt idx="7">
                  <c:v>2.1092265764765084</c:v>
                </c:pt>
                <c:pt idx="8">
                  <c:v>1.0081692624378173</c:v>
                </c:pt>
                <c:pt idx="9">
                  <c:v>1.5572118301404929</c:v>
                </c:pt>
                <c:pt idx="10">
                  <c:v>1.5470806454551589</c:v>
                </c:pt>
                <c:pt idx="11">
                  <c:v>2.3100039862304498</c:v>
                </c:pt>
                <c:pt idx="12">
                  <c:v>2.4007295650057485</c:v>
                </c:pt>
              </c:numCache>
            </c:numRef>
          </c:yVal>
          <c:smooth val="0"/>
          <c:extLst>
            <c:ext xmlns:c16="http://schemas.microsoft.com/office/drawing/2014/chart" uri="{C3380CC4-5D6E-409C-BE32-E72D297353CC}">
              <c16:uniqueId val="{00000000-D68A-49F1-96B7-00A10C7139C7}"/>
            </c:ext>
          </c:extLst>
        </c:ser>
        <c:dLbls>
          <c:showLegendKey val="0"/>
          <c:showVal val="0"/>
          <c:showCatName val="0"/>
          <c:showSerName val="0"/>
          <c:showPercent val="0"/>
          <c:showBubbleSize val="0"/>
        </c:dLbls>
        <c:axId val="584273360"/>
        <c:axId val="584272184"/>
      </c:scatterChart>
      <c:valAx>
        <c:axId val="584273360"/>
        <c:scaling>
          <c:orientation val="minMax"/>
        </c:scaling>
        <c:delete val="0"/>
        <c:axPos val="b"/>
        <c:title>
          <c:tx>
            <c:rich>
              <a:bodyPr/>
              <a:lstStyle/>
              <a:p>
                <a:pPr>
                  <a:defRPr/>
                </a:pPr>
                <a:r>
                  <a:rPr lang="en-GB"/>
                  <a:t>Buiten temperatuur</a:t>
                </a:r>
              </a:p>
            </c:rich>
          </c:tx>
          <c:layout>
            <c:manualLayout>
              <c:xMode val="edge"/>
              <c:yMode val="edge"/>
              <c:x val="0.44094529522392378"/>
              <c:y val="0.891566265060240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nl-NL"/>
          </a:p>
        </c:txPr>
        <c:crossAx val="584272184"/>
        <c:crosses val="autoZero"/>
        <c:crossBetween val="midCat"/>
      </c:valAx>
      <c:valAx>
        <c:axId val="584272184"/>
        <c:scaling>
          <c:orientation val="minMax"/>
        </c:scaling>
        <c:delete val="0"/>
        <c:axPos val="l"/>
        <c:title>
          <c:tx>
            <c:rich>
              <a:bodyPr/>
              <a:lstStyle/>
              <a:p>
                <a:pPr>
                  <a:defRPr/>
                </a:pPr>
                <a:r>
                  <a:rPr lang="en-GB"/>
                  <a:t>PM10</a:t>
                </a:r>
              </a:p>
            </c:rich>
          </c:tx>
          <c:layout>
            <c:manualLayout>
              <c:xMode val="edge"/>
              <c:yMode val="edge"/>
              <c:x val="3.1496062992125984E-2"/>
              <c:y val="0.39457831325301207"/>
            </c:manualLayout>
          </c:layout>
          <c:overlay val="0"/>
          <c:spPr>
            <a:noFill/>
            <a:ln w="25400">
              <a:noFill/>
            </a:ln>
          </c:spPr>
        </c:title>
        <c:numFmt formatCode="0.000" sourceLinked="1"/>
        <c:majorTickMark val="out"/>
        <c:minorTickMark val="none"/>
        <c:tickLblPos val="low"/>
        <c:spPr>
          <a:ln w="3175">
            <a:solidFill>
              <a:srgbClr val="000000"/>
            </a:solidFill>
            <a:prstDash val="solid"/>
          </a:ln>
        </c:spPr>
        <c:txPr>
          <a:bodyPr rot="0" vert="horz"/>
          <a:lstStyle/>
          <a:p>
            <a:pPr>
              <a:defRPr/>
            </a:pPr>
            <a:endParaRPr lang="nl-NL"/>
          </a:p>
        </c:txPr>
        <c:crossAx val="58427336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66943135364571"/>
          <c:y val="7.5301204819277115E-2"/>
          <c:w val="0.8110244015905681"/>
          <c:h val="0.73493975903614461"/>
        </c:manualLayout>
      </c:layout>
      <c:scatterChart>
        <c:scatterStyle val="lineMarker"/>
        <c:varyColors val="0"/>
        <c:ser>
          <c:idx val="1"/>
          <c:order val="0"/>
          <c:tx>
            <c:strRef>
              <c:f>vkod!$V$1</c:f>
              <c:strCache>
                <c:ptCount val="1"/>
                <c:pt idx="0">
                  <c:v>PM10</c:v>
                </c:pt>
              </c:strCache>
            </c:strRef>
          </c:tx>
          <c:spPr>
            <a:ln w="28575">
              <a:noFill/>
            </a:ln>
          </c:spPr>
          <c:marker>
            <c:symbol val="square"/>
            <c:size val="4"/>
            <c:spPr>
              <a:solidFill>
                <a:schemeClr val="tx1"/>
              </a:solidFill>
              <a:ln>
                <a:solidFill>
                  <a:schemeClr val="tx1"/>
                </a:solidFill>
                <a:prstDash val="solid"/>
              </a:ln>
            </c:spPr>
          </c:marker>
          <c:trendline>
            <c:spPr>
              <a:ln w="12700">
                <a:solidFill>
                  <a:srgbClr val="000000"/>
                </a:solidFill>
                <a:prstDash val="solid"/>
              </a:ln>
            </c:spPr>
            <c:trendlineType val="linear"/>
            <c:dispRSqr val="1"/>
            <c:dispEq val="1"/>
            <c:trendlineLbl>
              <c:layout>
                <c:manualLayout>
                  <c:x val="-0.17223958956417185"/>
                  <c:y val="-0.31046706511083705"/>
                </c:manualLayout>
              </c:layout>
              <c:numFmt formatCode="General" sourceLinked="0"/>
              <c:spPr>
                <a:noFill/>
                <a:ln w="25400">
                  <a:noFill/>
                </a:ln>
              </c:spPr>
            </c:trendlineLbl>
          </c:trendline>
          <c:xVal>
            <c:numRef>
              <c:f>vkod!$T$2:$T$14</c:f>
              <c:numCache>
                <c:formatCode>0.0</c:formatCode>
                <c:ptCount val="13"/>
                <c:pt idx="0">
                  <c:v>15.487083333333331</c:v>
                </c:pt>
                <c:pt idx="1">
                  <c:v>17.772500000000001</c:v>
                </c:pt>
                <c:pt idx="2">
                  <c:v>12.180833333333334</c:v>
                </c:pt>
                <c:pt idx="3">
                  <c:v>10.095000000000001</c:v>
                </c:pt>
                <c:pt idx="5">
                  <c:v>6.6371666666666664</c:v>
                </c:pt>
                <c:pt idx="6">
                  <c:v>15.487083333333331</c:v>
                </c:pt>
                <c:pt idx="7">
                  <c:v>14.811979166666674</c:v>
                </c:pt>
                <c:pt idx="8">
                  <c:v>15.842916666666662</c:v>
                </c:pt>
                <c:pt idx="9">
                  <c:v>11.226208333333332</c:v>
                </c:pt>
                <c:pt idx="10">
                  <c:v>9.0591304347826078</c:v>
                </c:pt>
                <c:pt idx="11">
                  <c:v>2.3603333333333332</c:v>
                </c:pt>
                <c:pt idx="12">
                  <c:v>-0.37458333333333343</c:v>
                </c:pt>
              </c:numCache>
            </c:numRef>
          </c:xVal>
          <c:yVal>
            <c:numRef>
              <c:f>vkod!$V$2:$V$14</c:f>
              <c:numCache>
                <c:formatCode>0.000</c:formatCode>
                <c:ptCount val="13"/>
                <c:pt idx="0">
                  <c:v>2.677237202793155</c:v>
                </c:pt>
                <c:pt idx="1">
                  <c:v>0.89465756417496589</c:v>
                </c:pt>
                <c:pt idx="2">
                  <c:v>1.1368264338913063</c:v>
                </c:pt>
                <c:pt idx="3">
                  <c:v>1.0679618400610718</c:v>
                </c:pt>
                <c:pt idx="4">
                  <c:v>1.585921432928634</c:v>
                </c:pt>
                <c:pt idx="5">
                  <c:v>1.9792349413598105</c:v>
                </c:pt>
                <c:pt idx="7">
                  <c:v>2.1092265764765084</c:v>
                </c:pt>
                <c:pt idx="8">
                  <c:v>1.0081692624378173</c:v>
                </c:pt>
                <c:pt idx="9">
                  <c:v>1.5572118301404929</c:v>
                </c:pt>
                <c:pt idx="10">
                  <c:v>1.5470806454551589</c:v>
                </c:pt>
                <c:pt idx="11">
                  <c:v>2.3100039862304498</c:v>
                </c:pt>
                <c:pt idx="12">
                  <c:v>2.4007295650057485</c:v>
                </c:pt>
              </c:numCache>
            </c:numRef>
          </c:yVal>
          <c:smooth val="0"/>
          <c:extLst>
            <c:ext xmlns:c16="http://schemas.microsoft.com/office/drawing/2014/chart" uri="{C3380CC4-5D6E-409C-BE32-E72D297353CC}">
              <c16:uniqueId val="{00000000-FD8A-427D-8BC3-4CCD94A3707B}"/>
            </c:ext>
          </c:extLst>
        </c:ser>
        <c:dLbls>
          <c:showLegendKey val="0"/>
          <c:showVal val="0"/>
          <c:showCatName val="0"/>
          <c:showSerName val="0"/>
          <c:showPercent val="0"/>
          <c:showBubbleSize val="0"/>
        </c:dLbls>
        <c:axId val="584272576"/>
        <c:axId val="584271792"/>
      </c:scatterChart>
      <c:valAx>
        <c:axId val="584272576"/>
        <c:scaling>
          <c:orientation val="minMax"/>
        </c:scaling>
        <c:delete val="0"/>
        <c:axPos val="b"/>
        <c:title>
          <c:tx>
            <c:rich>
              <a:bodyPr/>
              <a:lstStyle/>
              <a:p>
                <a:pPr>
                  <a:defRPr/>
                </a:pPr>
                <a:r>
                  <a:rPr lang="en-GB"/>
                  <a:t>Buiten temperatuur</a:t>
                </a:r>
              </a:p>
            </c:rich>
          </c:tx>
          <c:layout>
            <c:manualLayout>
              <c:xMode val="edge"/>
              <c:yMode val="edge"/>
              <c:x val="0.44094529522392378"/>
              <c:y val="0.891566265060240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nl-NL"/>
          </a:p>
        </c:txPr>
        <c:crossAx val="584271792"/>
        <c:crosses val="autoZero"/>
        <c:crossBetween val="midCat"/>
      </c:valAx>
      <c:valAx>
        <c:axId val="584271792"/>
        <c:scaling>
          <c:orientation val="minMax"/>
        </c:scaling>
        <c:delete val="0"/>
        <c:axPos val="l"/>
        <c:title>
          <c:tx>
            <c:rich>
              <a:bodyPr/>
              <a:lstStyle/>
              <a:p>
                <a:pPr>
                  <a:defRPr/>
                </a:pPr>
                <a:r>
                  <a:rPr lang="en-GB"/>
                  <a:t>PM10</a:t>
                </a:r>
              </a:p>
            </c:rich>
          </c:tx>
          <c:layout>
            <c:manualLayout>
              <c:xMode val="edge"/>
              <c:yMode val="edge"/>
              <c:x val="3.1496062992125984E-2"/>
              <c:y val="0.39457831325301207"/>
            </c:manualLayout>
          </c:layout>
          <c:overlay val="0"/>
          <c:spPr>
            <a:noFill/>
            <a:ln w="25400">
              <a:noFill/>
            </a:ln>
          </c:spPr>
        </c:title>
        <c:numFmt formatCode="0.000" sourceLinked="1"/>
        <c:majorTickMark val="out"/>
        <c:minorTickMark val="none"/>
        <c:tickLblPos val="low"/>
        <c:spPr>
          <a:ln w="3175">
            <a:solidFill>
              <a:srgbClr val="000000"/>
            </a:solidFill>
            <a:prstDash val="solid"/>
          </a:ln>
        </c:spPr>
        <c:txPr>
          <a:bodyPr rot="0" vert="horz"/>
          <a:lstStyle/>
          <a:p>
            <a:pPr>
              <a:defRPr/>
            </a:pPr>
            <a:endParaRPr lang="nl-NL"/>
          </a:p>
        </c:txPr>
        <c:crossAx val="58427257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Spin" dx="26" fmlaLink="$D$14" inc="10" max="1500" page="10" val="0"/>
</file>

<file path=xl/ctrlProps/ctrlProp2.xml><?xml version="1.0" encoding="utf-8"?>
<formControlPr xmlns="http://schemas.microsoft.com/office/spreadsheetml/2009/9/main" objectType="Spin" dx="26" fmlaLink="$D$19" inc="10" max="1500" page="10" val="0"/>
</file>

<file path=xl/ctrlProps/ctrlProp3.xml><?xml version="1.0" encoding="utf-8"?>
<formControlPr xmlns="http://schemas.microsoft.com/office/spreadsheetml/2009/9/main" objectType="Spin" dx="26" inc="5" max="620" page="10"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293077</xdr:colOff>
      <xdr:row>20</xdr:row>
      <xdr:rowOff>279246</xdr:rowOff>
    </xdr:from>
    <xdr:to>
      <xdr:col>7</xdr:col>
      <xdr:colOff>1974512</xdr:colOff>
      <xdr:row>22</xdr:row>
      <xdr:rowOff>166082</xdr:rowOff>
    </xdr:to>
    <xdr:sp macro="" textlink="">
      <xdr:nvSpPr>
        <xdr:cNvPr id="3" name="Gebogen pijl 2">
          <a:extLst>
            <a:ext uri="{FF2B5EF4-FFF2-40B4-BE49-F238E27FC236}">
              <a16:creationId xmlns:a16="http://schemas.microsoft.com/office/drawing/2014/main" id="{00000000-0008-0000-0000-000003000000}"/>
            </a:ext>
          </a:extLst>
        </xdr:cNvPr>
        <xdr:cNvSpPr/>
      </xdr:nvSpPr>
      <xdr:spPr>
        <a:xfrm rot="5400000">
          <a:off x="4956415" y="5424215"/>
          <a:ext cx="756298" cy="1681435"/>
        </a:xfrm>
        <a:prstGeom prst="bentArrow">
          <a:avLst>
            <a:gd name="adj1" fmla="val 25000"/>
            <a:gd name="adj2" fmla="val 22210"/>
            <a:gd name="adj3" fmla="val 25000"/>
            <a:gd name="adj4" fmla="val 4375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5</xdr:col>
      <xdr:colOff>23082</xdr:colOff>
      <xdr:row>20</xdr:row>
      <xdr:rowOff>39255</xdr:rowOff>
    </xdr:from>
    <xdr:to>
      <xdr:col>11</xdr:col>
      <xdr:colOff>38589</xdr:colOff>
      <xdr:row>21</xdr:row>
      <xdr:rowOff>278861</xdr:rowOff>
    </xdr:to>
    <xdr:sp macro="" textlink="">
      <xdr:nvSpPr>
        <xdr:cNvPr id="5" name="Pijl-rechts 4">
          <a:extLst>
            <a:ext uri="{FF2B5EF4-FFF2-40B4-BE49-F238E27FC236}">
              <a16:creationId xmlns:a16="http://schemas.microsoft.com/office/drawing/2014/main" id="{00000000-0008-0000-0000-000005000000}"/>
            </a:ext>
          </a:extLst>
        </xdr:cNvPr>
        <xdr:cNvSpPr/>
      </xdr:nvSpPr>
      <xdr:spPr>
        <a:xfrm>
          <a:off x="2895236" y="5646793"/>
          <a:ext cx="5818430" cy="747606"/>
        </a:xfrm>
        <a:prstGeom prst="rightArrow">
          <a:avLst/>
        </a:prstGeom>
        <a:solidFill>
          <a:schemeClr val="tx2">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203790</xdr:colOff>
      <xdr:row>7</xdr:row>
      <xdr:rowOff>45720</xdr:rowOff>
    </xdr:from>
    <xdr:to>
      <xdr:col>5</xdr:col>
      <xdr:colOff>-1</xdr:colOff>
      <xdr:row>12</xdr:row>
      <xdr:rowOff>0</xdr:rowOff>
    </xdr:to>
    <xdr:sp macro="" textlink="">
      <xdr:nvSpPr>
        <xdr:cNvPr id="6" name="Gelijkbenige driehoek 5">
          <a:extLst>
            <a:ext uri="{FF2B5EF4-FFF2-40B4-BE49-F238E27FC236}">
              <a16:creationId xmlns:a16="http://schemas.microsoft.com/office/drawing/2014/main" id="{00000000-0008-0000-0000-000006000000}"/>
            </a:ext>
          </a:extLst>
        </xdr:cNvPr>
        <xdr:cNvSpPr/>
      </xdr:nvSpPr>
      <xdr:spPr>
        <a:xfrm>
          <a:off x="447630" y="1706880"/>
          <a:ext cx="2379389" cy="1874520"/>
        </a:xfrm>
        <a:prstGeom prst="triangle">
          <a:avLst>
            <a:gd name="adj" fmla="val 50000"/>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3447</xdr:colOff>
      <xdr:row>12</xdr:row>
      <xdr:rowOff>1</xdr:rowOff>
    </xdr:from>
    <xdr:to>
      <xdr:col>5</xdr:col>
      <xdr:colOff>0</xdr:colOff>
      <xdr:row>22</xdr:row>
      <xdr:rowOff>235858</xdr:rowOff>
    </xdr:to>
    <xdr:sp macro="" textlink="">
      <xdr:nvSpPr>
        <xdr:cNvPr id="7" name="Rechthoek 6">
          <a:extLst>
            <a:ext uri="{FF2B5EF4-FFF2-40B4-BE49-F238E27FC236}">
              <a16:creationId xmlns:a16="http://schemas.microsoft.com/office/drawing/2014/main" id="{00000000-0008-0000-0000-000007000000}"/>
            </a:ext>
          </a:extLst>
        </xdr:cNvPr>
        <xdr:cNvSpPr/>
      </xdr:nvSpPr>
      <xdr:spPr>
        <a:xfrm>
          <a:off x="466090" y="2966358"/>
          <a:ext cx="2418624" cy="32657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5715</xdr:colOff>
      <xdr:row>12</xdr:row>
      <xdr:rowOff>201084</xdr:rowOff>
    </xdr:from>
    <xdr:to>
      <xdr:col>6</xdr:col>
      <xdr:colOff>628651</xdr:colOff>
      <xdr:row>14</xdr:row>
      <xdr:rowOff>132504</xdr:rowOff>
    </xdr:to>
    <xdr:sp macro="" textlink="">
      <xdr:nvSpPr>
        <xdr:cNvPr id="8" name="Pijl-rechts 7">
          <a:extLst>
            <a:ext uri="{FF2B5EF4-FFF2-40B4-BE49-F238E27FC236}">
              <a16:creationId xmlns:a16="http://schemas.microsoft.com/office/drawing/2014/main" id="{00000000-0008-0000-0000-000008000000}"/>
            </a:ext>
          </a:extLst>
        </xdr:cNvPr>
        <xdr:cNvSpPr/>
      </xdr:nvSpPr>
      <xdr:spPr>
        <a:xfrm>
          <a:off x="2877869" y="3698469"/>
          <a:ext cx="1297013" cy="498035"/>
        </a:xfrm>
        <a:prstGeom prst="rightArrow">
          <a:avLst/>
        </a:prstGeom>
        <a:solidFill>
          <a:srgbClr val="FFFF00">
            <a:alpha val="4392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9771</xdr:colOff>
      <xdr:row>9</xdr:row>
      <xdr:rowOff>138699</xdr:rowOff>
    </xdr:from>
    <xdr:to>
      <xdr:col>15</xdr:col>
      <xdr:colOff>2133603</xdr:colOff>
      <xdr:row>11</xdr:row>
      <xdr:rowOff>91840</xdr:rowOff>
    </xdr:to>
    <xdr:sp macro="" textlink="">
      <xdr:nvSpPr>
        <xdr:cNvPr id="11" name="Pijl-omhoog 10">
          <a:extLst>
            <a:ext uri="{FF2B5EF4-FFF2-40B4-BE49-F238E27FC236}">
              <a16:creationId xmlns:a16="http://schemas.microsoft.com/office/drawing/2014/main" id="{00000000-0008-0000-0000-00000B000000}"/>
            </a:ext>
          </a:extLst>
        </xdr:cNvPr>
        <xdr:cNvSpPr/>
      </xdr:nvSpPr>
      <xdr:spPr>
        <a:xfrm rot="5400000">
          <a:off x="10743941" y="-2251571"/>
          <a:ext cx="429391" cy="9210432"/>
        </a:xfrm>
        <a:prstGeom prst="upArrow">
          <a:avLst/>
        </a:prstGeom>
        <a:solidFill>
          <a:schemeClr val="accent5">
            <a:lumMod val="20000"/>
            <a:lumOff val="80000"/>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1615996</xdr:colOff>
      <xdr:row>19</xdr:row>
      <xdr:rowOff>293077</xdr:rowOff>
    </xdr:from>
    <xdr:to>
      <xdr:col>16</xdr:col>
      <xdr:colOff>9525</xdr:colOff>
      <xdr:row>23</xdr:row>
      <xdr:rowOff>172426</xdr:rowOff>
    </xdr:to>
    <xdr:sp macro="" textlink="">
      <xdr:nvSpPr>
        <xdr:cNvPr id="12" name="Gebogen pijl 11">
          <a:extLst>
            <a:ext uri="{FF2B5EF4-FFF2-40B4-BE49-F238E27FC236}">
              <a16:creationId xmlns:a16="http://schemas.microsoft.com/office/drawing/2014/main" id="{00000000-0008-0000-0000-00000C000000}"/>
            </a:ext>
          </a:extLst>
        </xdr:cNvPr>
        <xdr:cNvSpPr/>
      </xdr:nvSpPr>
      <xdr:spPr>
        <a:xfrm rot="10800000" flipH="1">
          <a:off x="5749846" y="4941277"/>
          <a:ext cx="7347029" cy="1250949"/>
        </a:xfrm>
        <a:prstGeom prst="bentArrow">
          <a:avLst>
            <a:gd name="adj1" fmla="val 25000"/>
            <a:gd name="adj2" fmla="val 21747"/>
            <a:gd name="adj3" fmla="val 25000"/>
            <a:gd name="adj4" fmla="val 4375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11</xdr:col>
      <xdr:colOff>1127352</xdr:colOff>
      <xdr:row>26</xdr:row>
      <xdr:rowOff>86741</xdr:rowOff>
    </xdr:from>
    <xdr:to>
      <xdr:col>14</xdr:col>
      <xdr:colOff>145677</xdr:colOff>
      <xdr:row>29</xdr:row>
      <xdr:rowOff>324970</xdr:rowOff>
    </xdr:to>
    <xdr:sp macro="[0]!Macro1" textlink="">
      <xdr:nvSpPr>
        <xdr:cNvPr id="13" name="Afgeronde rechthoek 12">
          <a:extLst>
            <a:ext uri="{FF2B5EF4-FFF2-40B4-BE49-F238E27FC236}">
              <a16:creationId xmlns:a16="http://schemas.microsoft.com/office/drawing/2014/main" id="{00000000-0008-0000-0000-00000D000000}"/>
            </a:ext>
          </a:extLst>
        </xdr:cNvPr>
        <xdr:cNvSpPr/>
      </xdr:nvSpPr>
      <xdr:spPr>
        <a:xfrm>
          <a:off x="9767087" y="6765447"/>
          <a:ext cx="2178384" cy="910582"/>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Opslaan als PDF</a:t>
          </a:r>
        </a:p>
        <a:p>
          <a:pPr algn="l"/>
          <a:r>
            <a:rPr lang="en-GB" sz="1400"/>
            <a:t>(</a:t>
          </a:r>
          <a:r>
            <a:rPr lang="en-GB" sz="1200"/>
            <a:t>sla eerst </a:t>
          </a:r>
          <a:r>
            <a:rPr lang="en-GB" sz="1200" baseline="0"/>
            <a:t>Excelfile op. PDF komt in zelfde map)</a:t>
          </a:r>
          <a:r>
            <a:rPr lang="en-GB" sz="1400"/>
            <a:t> </a:t>
          </a:r>
        </a:p>
      </xdr:txBody>
    </xdr:sp>
    <xdr:clientData/>
  </xdr:twoCellAnchor>
  <xdr:twoCellAnchor editAs="oneCell">
    <xdr:from>
      <xdr:col>13</xdr:col>
      <xdr:colOff>99935</xdr:colOff>
      <xdr:row>29</xdr:row>
      <xdr:rowOff>131674</xdr:rowOff>
    </xdr:from>
    <xdr:to>
      <xdr:col>13</xdr:col>
      <xdr:colOff>535159</xdr:colOff>
      <xdr:row>30</xdr:row>
      <xdr:rowOff>18151</xdr:rowOff>
    </xdr:to>
    <xdr:pic macro="[0]!Macro1">
      <xdr:nvPicPr>
        <xdr:cNvPr id="14" name="Afbeelding 13" descr="Afbeeldingsresultaat voor handje muisklik">
          <a:extLst>
            <a:ext uri="{FF2B5EF4-FFF2-40B4-BE49-F238E27FC236}">
              <a16:creationId xmlns:a16="http://schemas.microsoft.com/office/drawing/2014/main" id="{00000000-0008-0000-0000-00000E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31" t="49567"/>
        <a:stretch/>
      </xdr:blipFill>
      <xdr:spPr bwMode="auto">
        <a:xfrm>
          <a:off x="11301335" y="7551649"/>
          <a:ext cx="435224" cy="438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243354</xdr:colOff>
      <xdr:row>26</xdr:row>
      <xdr:rowOff>14645</xdr:rowOff>
    </xdr:from>
    <xdr:to>
      <xdr:col>11</xdr:col>
      <xdr:colOff>38100</xdr:colOff>
      <xdr:row>29</xdr:row>
      <xdr:rowOff>335181</xdr:rowOff>
    </xdr:to>
    <xdr:pic>
      <xdr:nvPicPr>
        <xdr:cNvPr id="15" name="Afbeelding 14">
          <a:extLst>
            <a:ext uri="{FF2B5EF4-FFF2-40B4-BE49-F238E27FC236}">
              <a16:creationId xmlns:a16="http://schemas.microsoft.com/office/drawing/2014/main" id="{00000000-0008-0000-0000-00000F000000}"/>
            </a:ext>
          </a:extLst>
        </xdr:cNvPr>
        <xdr:cNvPicPr/>
      </xdr:nvPicPr>
      <xdr:blipFill rotWithShape="1">
        <a:blip xmlns:r="http://schemas.openxmlformats.org/officeDocument/2006/relationships" r:embed="rId2"/>
        <a:srcRect l="8846" t="26044" r="79683" b="33170"/>
        <a:stretch/>
      </xdr:blipFill>
      <xdr:spPr bwMode="auto">
        <a:xfrm>
          <a:off x="8101479" y="6720245"/>
          <a:ext cx="585321" cy="996811"/>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371</xdr:colOff>
      <xdr:row>17</xdr:row>
      <xdr:rowOff>109735</xdr:rowOff>
    </xdr:from>
    <xdr:to>
      <xdr:col>15</xdr:col>
      <xdr:colOff>2143125</xdr:colOff>
      <xdr:row>18</xdr:row>
      <xdr:rowOff>310251</xdr:rowOff>
    </xdr:to>
    <xdr:sp macro="" textlink="">
      <xdr:nvSpPr>
        <xdr:cNvPr id="16" name="Pijl-omhoog 15">
          <a:extLst>
            <a:ext uri="{FF2B5EF4-FFF2-40B4-BE49-F238E27FC236}">
              <a16:creationId xmlns:a16="http://schemas.microsoft.com/office/drawing/2014/main" id="{00000000-0008-0000-0000-000010000000}"/>
            </a:ext>
          </a:extLst>
        </xdr:cNvPr>
        <xdr:cNvSpPr/>
      </xdr:nvSpPr>
      <xdr:spPr>
        <a:xfrm rot="5400000">
          <a:off x="12959942" y="2087452"/>
          <a:ext cx="461475" cy="4773219"/>
        </a:xfrm>
        <a:prstGeom prst="upArrow">
          <a:avLst/>
        </a:prstGeom>
        <a:solidFill>
          <a:schemeClr val="accent5">
            <a:lumMod val="20000"/>
            <a:lumOff val="80000"/>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6</xdr:col>
          <xdr:colOff>76200</xdr:colOff>
          <xdr:row>11</xdr:row>
          <xdr:rowOff>47625</xdr:rowOff>
        </xdr:from>
        <xdr:to>
          <xdr:col>6</xdr:col>
          <xdr:colOff>361950</xdr:colOff>
          <xdr:row>13</xdr:row>
          <xdr:rowOff>19050</xdr:rowOff>
        </xdr:to>
        <xdr:sp macro="" textlink="">
          <xdr:nvSpPr>
            <xdr:cNvPr id="3077" name="Spinner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5</xdr:col>
      <xdr:colOff>19050</xdr:colOff>
      <xdr:row>18</xdr:row>
      <xdr:rowOff>284529</xdr:rowOff>
    </xdr:from>
    <xdr:to>
      <xdr:col>7</xdr:col>
      <xdr:colOff>3811</xdr:colOff>
      <xdr:row>20</xdr:row>
      <xdr:rowOff>92124</xdr:rowOff>
    </xdr:to>
    <xdr:sp macro="" textlink="">
      <xdr:nvSpPr>
        <xdr:cNvPr id="19" name="Pijl-rechts 18">
          <a:extLst>
            <a:ext uri="{FF2B5EF4-FFF2-40B4-BE49-F238E27FC236}">
              <a16:creationId xmlns:a16="http://schemas.microsoft.com/office/drawing/2014/main" id="{00000000-0008-0000-0000-000013000000}"/>
            </a:ext>
          </a:extLst>
        </xdr:cNvPr>
        <xdr:cNvSpPr/>
      </xdr:nvSpPr>
      <xdr:spPr>
        <a:xfrm>
          <a:off x="2891204" y="5276606"/>
          <a:ext cx="1313376" cy="491441"/>
        </a:xfrm>
        <a:prstGeom prst="rightArrow">
          <a:avLst/>
        </a:prstGeom>
        <a:solidFill>
          <a:srgbClr val="FFFF00">
            <a:alpha val="4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6</xdr:col>
          <xdr:colOff>19050</xdr:colOff>
          <xdr:row>17</xdr:row>
          <xdr:rowOff>209550</xdr:rowOff>
        </xdr:from>
        <xdr:to>
          <xdr:col>6</xdr:col>
          <xdr:colOff>323850</xdr:colOff>
          <xdr:row>19</xdr:row>
          <xdr:rowOff>38100</xdr:rowOff>
        </xdr:to>
        <xdr:sp macro="" textlink="">
          <xdr:nvSpPr>
            <xdr:cNvPr id="3080" name="Spinner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8</xdr:col>
      <xdr:colOff>19537</xdr:colOff>
      <xdr:row>13</xdr:row>
      <xdr:rowOff>28615</xdr:rowOff>
    </xdr:from>
    <xdr:to>
      <xdr:col>11</xdr:col>
      <xdr:colOff>1299305</xdr:colOff>
      <xdr:row>17</xdr:row>
      <xdr:rowOff>38382</xdr:rowOff>
    </xdr:to>
    <xdr:sp macro="" textlink="">
      <xdr:nvSpPr>
        <xdr:cNvPr id="22" name="Gebogen pijl 2">
          <a:extLst>
            <a:ext uri="{FF2B5EF4-FFF2-40B4-BE49-F238E27FC236}">
              <a16:creationId xmlns:a16="http://schemas.microsoft.com/office/drawing/2014/main" id="{00000000-0008-0000-0000-000016000000}"/>
            </a:ext>
          </a:extLst>
        </xdr:cNvPr>
        <xdr:cNvSpPr/>
      </xdr:nvSpPr>
      <xdr:spPr>
        <a:xfrm rot="5400000">
          <a:off x="7742115" y="1977576"/>
          <a:ext cx="1094152" cy="3624383"/>
        </a:xfrm>
        <a:prstGeom prst="bentArrow">
          <a:avLst>
            <a:gd name="adj1" fmla="val 25000"/>
            <a:gd name="adj2" fmla="val 31654"/>
            <a:gd name="adj3" fmla="val 25000"/>
            <a:gd name="adj4" fmla="val 43750"/>
          </a:avLst>
        </a:prstGeom>
        <a:solidFill>
          <a:schemeClr val="accent1">
            <a:alpha val="6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15</xdr:col>
          <xdr:colOff>1238250</xdr:colOff>
          <xdr:row>6</xdr:row>
          <xdr:rowOff>47625</xdr:rowOff>
        </xdr:from>
        <xdr:to>
          <xdr:col>15</xdr:col>
          <xdr:colOff>1495425</xdr:colOff>
          <xdr:row>8</xdr:row>
          <xdr:rowOff>161925</xdr:rowOff>
        </xdr:to>
        <xdr:sp macro="" textlink="">
          <xdr:nvSpPr>
            <xdr:cNvPr id="3093" name="Spinner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147954</xdr:colOff>
      <xdr:row>15</xdr:row>
      <xdr:rowOff>245432</xdr:rowOff>
    </xdr:from>
    <xdr:to>
      <xdr:col>6</xdr:col>
      <xdr:colOff>2221</xdr:colOff>
      <xdr:row>17</xdr:row>
      <xdr:rowOff>71758</xdr:rowOff>
    </xdr:to>
    <xdr:pic macro="[0]!ZetventilatieWWenstoffilteropnul">
      <xdr:nvPicPr>
        <xdr:cNvPr id="21" name="Afbeelding 13" descr="Afbeeldingsresultaat voor handje muisklik">
          <a:extLst>
            <a:ext uri="{FF2B5EF4-FFF2-40B4-BE49-F238E27FC236}">
              <a16:creationId xmlns:a16="http://schemas.microsoft.com/office/drawing/2014/main" id="{00000000-0008-0000-0000-00001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31" t="49567"/>
        <a:stretch/>
      </xdr:blipFill>
      <xdr:spPr bwMode="auto">
        <a:xfrm rot="10800000">
          <a:off x="2976879" y="3779207"/>
          <a:ext cx="521017" cy="493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409576</xdr:colOff>
      <xdr:row>6</xdr:row>
      <xdr:rowOff>152399</xdr:rowOff>
    </xdr:from>
    <xdr:to>
      <xdr:col>4</xdr:col>
      <xdr:colOff>2059578</xdr:colOff>
      <xdr:row>11</xdr:row>
      <xdr:rowOff>185600</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1" y="1562099"/>
          <a:ext cx="1650002" cy="1100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66675</xdr:colOff>
      <xdr:row>15</xdr:row>
      <xdr:rowOff>76200</xdr:rowOff>
    </xdr:from>
    <xdr:to>
      <xdr:col>23</xdr:col>
      <xdr:colOff>352425</xdr:colOff>
      <xdr:row>34</xdr:row>
      <xdr:rowOff>142875</xdr:rowOff>
    </xdr:to>
    <xdr:graphicFrame macro="">
      <xdr:nvGraphicFramePr>
        <xdr:cNvPr id="1064" name="Grafiek 1">
          <a:extLst>
            <a:ext uri="{FF2B5EF4-FFF2-40B4-BE49-F238E27FC236}">
              <a16:creationId xmlns:a16="http://schemas.microsoft.com/office/drawing/2014/main" id="{00000000-0008-0000-0400-00002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28575</xdr:colOff>
      <xdr:row>15</xdr:row>
      <xdr:rowOff>57150</xdr:rowOff>
    </xdr:from>
    <xdr:to>
      <xdr:col>31</xdr:col>
      <xdr:colOff>600075</xdr:colOff>
      <xdr:row>34</xdr:row>
      <xdr:rowOff>142875</xdr:rowOff>
    </xdr:to>
    <xdr:graphicFrame macro="">
      <xdr:nvGraphicFramePr>
        <xdr:cNvPr id="1065" name="Grafiek 2">
          <a:extLst>
            <a:ext uri="{FF2B5EF4-FFF2-40B4-BE49-F238E27FC236}">
              <a16:creationId xmlns:a16="http://schemas.microsoft.com/office/drawing/2014/main" id="{00000000-0008-0000-0400-00002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76200</xdr:colOff>
      <xdr:row>15</xdr:row>
      <xdr:rowOff>57150</xdr:rowOff>
    </xdr:from>
    <xdr:to>
      <xdr:col>32</xdr:col>
      <xdr:colOff>38100</xdr:colOff>
      <xdr:row>34</xdr:row>
      <xdr:rowOff>142875</xdr:rowOff>
    </xdr:to>
    <xdr:graphicFrame macro="">
      <xdr:nvGraphicFramePr>
        <xdr:cNvPr id="1066" name="Grafiek 2">
          <a:extLst>
            <a:ext uri="{FF2B5EF4-FFF2-40B4-BE49-F238E27FC236}">
              <a16:creationId xmlns:a16="http://schemas.microsoft.com/office/drawing/2014/main" id="{00000000-0008-0000-04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W69"/>
  <sheetViews>
    <sheetView showGridLines="0" tabSelected="1" zoomScale="73" zoomScaleNormal="73" zoomScaleSheetLayoutView="80" workbookViewId="0">
      <selection activeCell="E4" sqref="E4"/>
    </sheetView>
  </sheetViews>
  <sheetFormatPr defaultColWidth="8.85546875" defaultRowHeight="15.75" x14ac:dyDescent="0.25"/>
  <cols>
    <col min="1" max="1" width="1" style="42" customWidth="1"/>
    <col min="2" max="2" width="2.5703125" style="42" customWidth="1"/>
    <col min="3" max="3" width="3" style="42" customWidth="1"/>
    <col min="4" max="4" width="13.85546875" style="42" hidden="1" customWidth="1"/>
    <col min="5" max="5" width="34.7109375" style="42" customWidth="1"/>
    <col min="6" max="6" width="9.7109375" style="42" customWidth="1"/>
    <col min="7" max="7" width="9.28515625" style="42" customWidth="1"/>
    <col min="8" max="8" width="32.28515625" style="42" customWidth="1"/>
    <col min="9" max="9" width="12.85546875" style="42" customWidth="1"/>
    <col min="10" max="10" width="9.140625" style="42" customWidth="1"/>
    <col min="11" max="11" width="11.5703125" style="42" customWidth="1"/>
    <col min="12" max="12" width="31.28515625" style="42" customWidth="1"/>
    <col min="13" max="13" width="6" style="42" customWidth="1"/>
    <col min="14" max="14" width="12.28515625" style="42" customWidth="1"/>
    <col min="15" max="15" width="20.28515625" style="42" customWidth="1"/>
    <col min="16" max="16" width="31.42578125" style="42" customWidth="1"/>
    <col min="17" max="17" width="16.42578125" style="42" customWidth="1"/>
    <col min="18" max="18" width="4.28515625" style="42" customWidth="1"/>
    <col min="19" max="20" width="9.7109375" style="42" bestFit="1" customWidth="1"/>
    <col min="21" max="16384" width="8.85546875" style="42"/>
  </cols>
  <sheetData>
    <row r="1" spans="1:49" ht="25.15" customHeight="1" x14ac:dyDescent="0.4">
      <c r="A1" s="218"/>
      <c r="B1" s="218"/>
      <c r="C1" s="218"/>
      <c r="D1" s="218"/>
      <c r="E1" s="219" t="s">
        <v>211</v>
      </c>
      <c r="F1" s="218"/>
      <c r="G1" s="218"/>
      <c r="H1" s="218"/>
      <c r="I1" s="218"/>
      <c r="J1" s="218"/>
      <c r="K1" s="220" t="s">
        <v>140</v>
      </c>
      <c r="L1" s="218"/>
      <c r="M1" s="89"/>
      <c r="N1" s="89"/>
      <c r="O1" s="89"/>
      <c r="P1" s="89"/>
      <c r="Q1" s="89"/>
      <c r="R1" s="218"/>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row>
    <row r="2" spans="1:49" ht="7.9" customHeight="1" thickBot="1" x14ac:dyDescent="0.3">
      <c r="A2" s="218"/>
      <c r="B2" s="218"/>
      <c r="C2" s="218"/>
      <c r="D2" s="218"/>
      <c r="E2" s="218"/>
      <c r="F2" s="218"/>
      <c r="G2" s="218"/>
      <c r="H2" s="218"/>
      <c r="I2" s="218"/>
      <c r="J2" s="218"/>
      <c r="K2" s="218"/>
      <c r="L2" s="218"/>
      <c r="M2" s="89"/>
      <c r="N2" s="89"/>
      <c r="O2" s="89"/>
      <c r="P2" s="89"/>
      <c r="Q2" s="89"/>
      <c r="R2" s="218"/>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row>
    <row r="3" spans="1:49" ht="20.45" customHeight="1" thickBot="1" x14ac:dyDescent="0.35">
      <c r="F3" s="99"/>
      <c r="G3" s="99"/>
      <c r="H3" s="257" t="s">
        <v>215</v>
      </c>
      <c r="I3" s="246"/>
      <c r="J3" s="246"/>
      <c r="K3" s="246"/>
      <c r="L3" s="246"/>
      <c r="M3" s="246"/>
      <c r="N3" s="246"/>
      <c r="O3" s="246"/>
      <c r="P3" s="246"/>
      <c r="Q3" s="247"/>
      <c r="R3" s="9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row>
    <row r="4" spans="1:49" ht="18" customHeight="1" x14ac:dyDescent="0.3">
      <c r="E4" s="244" t="s">
        <v>212</v>
      </c>
      <c r="F4" s="109" t="s">
        <v>134</v>
      </c>
      <c r="H4" s="250" t="s">
        <v>206</v>
      </c>
      <c r="I4" s="258"/>
      <c r="J4" s="258"/>
      <c r="K4" s="258"/>
      <c r="L4" s="258"/>
      <c r="M4" s="258"/>
      <c r="N4" s="258"/>
      <c r="O4" s="258"/>
      <c r="P4" s="258"/>
      <c r="Q4" s="261"/>
      <c r="R4" s="9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row>
    <row r="5" spans="1:49" ht="18" customHeight="1" x14ac:dyDescent="0.3">
      <c r="E5" s="245" t="s">
        <v>212</v>
      </c>
      <c r="F5" s="110" t="s">
        <v>135</v>
      </c>
      <c r="H5" s="248" t="s">
        <v>207</v>
      </c>
      <c r="I5" s="259"/>
      <c r="J5" s="259"/>
      <c r="K5" s="259"/>
      <c r="L5" s="259"/>
      <c r="M5" s="259"/>
      <c r="N5" s="259"/>
      <c r="O5" s="259"/>
      <c r="P5" s="259"/>
      <c r="Q5" s="249"/>
      <c r="R5" s="9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row>
    <row r="6" spans="1:49" ht="17.45" customHeight="1" thickBot="1" x14ac:dyDescent="0.35">
      <c r="E6" s="111">
        <f ca="1">TODAY()</f>
        <v>44267</v>
      </c>
      <c r="F6" s="112" t="s">
        <v>4</v>
      </c>
      <c r="H6" s="250" t="s">
        <v>208</v>
      </c>
      <c r="I6" s="260"/>
      <c r="J6" s="260"/>
      <c r="K6" s="260"/>
      <c r="L6" s="260"/>
      <c r="M6" s="260"/>
      <c r="N6" s="260"/>
      <c r="O6" s="260"/>
      <c r="P6" s="260"/>
      <c r="Q6" s="251"/>
      <c r="R6" s="9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row>
    <row r="7" spans="1:49" ht="18" customHeight="1" thickBot="1" x14ac:dyDescent="0.35">
      <c r="E7" s="42" t="s">
        <v>24</v>
      </c>
      <c r="H7" s="252" t="s">
        <v>209</v>
      </c>
      <c r="I7" s="253"/>
      <c r="J7" s="253"/>
      <c r="K7" s="254"/>
      <c r="L7" s="253"/>
      <c r="M7" s="254"/>
      <c r="N7" s="254"/>
      <c r="O7" s="254"/>
      <c r="P7" s="254"/>
      <c r="Q7" s="255"/>
      <c r="R7" s="9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row>
    <row r="8" spans="1:49" ht="13.15" customHeight="1" thickBot="1" x14ac:dyDescent="0.3">
      <c r="F8" s="108"/>
      <c r="H8" s="235"/>
      <c r="I8" s="236"/>
      <c r="J8" s="237"/>
      <c r="K8" s="237"/>
      <c r="R8" s="9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row>
    <row r="9" spans="1:49" ht="15" customHeight="1" thickBot="1" x14ac:dyDescent="0.4">
      <c r="E9" s="61"/>
      <c r="F9" s="241"/>
      <c r="H9" s="238"/>
      <c r="I9" s="237"/>
      <c r="J9" s="237"/>
      <c r="K9" s="237"/>
      <c r="L9" s="276"/>
      <c r="M9" s="277"/>
      <c r="N9" s="277"/>
      <c r="O9" s="95"/>
      <c r="Q9" s="269" t="s">
        <v>137</v>
      </c>
      <c r="R9" s="99"/>
      <c r="S9" s="89"/>
      <c r="T9" s="1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row>
    <row r="10" spans="1:49" ht="19.899999999999999" customHeight="1" x14ac:dyDescent="0.3">
      <c r="C10" s="87" t="s">
        <v>121</v>
      </c>
      <c r="E10" s="61"/>
      <c r="H10" s="226" t="str">
        <f>IF(F14+H16=0,"Geen warmtewisselaar","Warmtewisselaar")</f>
        <v>Geen warmtewisselaar</v>
      </c>
      <c r="I10" s="82"/>
      <c r="J10" s="80"/>
      <c r="L10" s="86"/>
      <c r="Q10" s="270"/>
      <c r="R10" s="9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row>
    <row r="11" spans="1:49" ht="18" customHeight="1" thickBot="1" x14ac:dyDescent="0.3">
      <c r="F11" s="62"/>
      <c r="H11" s="225" t="str">
        <f>IF(H10="warmtewisselaar","Reductiepercentage WW 80%","   ")</f>
        <v xml:space="preserve">   </v>
      </c>
      <c r="I11" s="59"/>
      <c r="J11" s="58">
        <f>IF(L20="geen techniek",F14+H16,IF(J13="ja",0,F14+H16))</f>
        <v>0</v>
      </c>
      <c r="K11" s="174" t="s">
        <v>201</v>
      </c>
      <c r="L11" s="272" t="str">
        <f>IF(L20="Biofilter",IF(F11+J14&gt;0,"Combinatie met warmtewisselaar is niet zinvol","     "),IF(L20="bio wasser 60%",IF(F11+J14&gt;0,"Combinatie met warmtewisselaar is niet zinvol","   "),IF(L20="bio wasser 75%",IF(F11+J14&gt;0,"Combinatie met warmtewisselaar is niet zinvol","   "),"   ")))</f>
        <v xml:space="preserve">   </v>
      </c>
      <c r="M11" s="273"/>
      <c r="N11" s="273"/>
      <c r="O11" s="273"/>
      <c r="Q11" s="270"/>
      <c r="R11" s="9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row>
    <row r="12" spans="1:49" ht="19.149999999999999" customHeight="1" thickBot="1" x14ac:dyDescent="0.3">
      <c r="H12" s="194">
        <f>ROUND(IF(H15="nee",'wisselend debiet en reductie'!$O$8*(1-E23),'wisselend debiet en reductie'!$Q$8*(1-E23)),3)</f>
        <v>0</v>
      </c>
      <c r="I12" s="206" t="str">
        <f>"Lucht WW door overige techniek?"</f>
        <v>Lucht WW door overige techniek?</v>
      </c>
      <c r="J12" s="207"/>
      <c r="K12" s="208"/>
      <c r="L12" s="273"/>
      <c r="M12" s="273"/>
      <c r="N12" s="273"/>
      <c r="O12" s="273"/>
      <c r="Q12" s="270"/>
      <c r="R12" s="9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row>
    <row r="13" spans="1:49" ht="19.149999999999999" customHeight="1" x14ac:dyDescent="0.35">
      <c r="E13" s="168" t="s">
        <v>210</v>
      </c>
      <c r="H13" s="224" t="s">
        <v>191</v>
      </c>
      <c r="I13" s="204"/>
      <c r="J13" s="205" t="s">
        <v>103</v>
      </c>
      <c r="L13" s="273"/>
      <c r="M13" s="273"/>
      <c r="N13" s="273"/>
      <c r="O13" s="273"/>
      <c r="Q13" s="270"/>
      <c r="R13" s="9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row>
    <row r="14" spans="1:49" ht="21" customHeight="1" x14ac:dyDescent="0.25">
      <c r="D14" s="190">
        <v>0</v>
      </c>
      <c r="E14" s="262" t="s">
        <v>136</v>
      </c>
      <c r="F14" s="188">
        <f>MAX(0,IF(D14+D19&gt;J25*100,(J25-F20),D14/100))</f>
        <v>0</v>
      </c>
      <c r="G14" s="42" t="s">
        <v>201</v>
      </c>
      <c r="H14" s="225" t="str">
        <f>IF(F15=0,"    ","Reductie% stoffilter 99%")</f>
        <v>Reductie% stoffilter 99%</v>
      </c>
      <c r="J14" s="192">
        <f>IF(L20="geen techniek",0,IF(J13="ja",F14+H16,0))</f>
        <v>0</v>
      </c>
      <c r="K14" s="191" t="s">
        <v>201</v>
      </c>
      <c r="Q14" s="270"/>
      <c r="R14" s="9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row>
    <row r="15" spans="1:49" ht="25.15" customHeight="1" thickBot="1" x14ac:dyDescent="0.35">
      <c r="D15" s="190">
        <v>75</v>
      </c>
      <c r="E15" s="262"/>
      <c r="F15" s="42" t="s">
        <v>189</v>
      </c>
      <c r="H15" s="83" t="s">
        <v>103</v>
      </c>
      <c r="I15" s="278" t="str">
        <f>IF(J13="nee","     ",IF(L20="geen techniek",IF(J13="ja","Indien 'geen techniek', dan is er geen luchtstroom"),"   "))</f>
        <v xml:space="preserve">     </v>
      </c>
      <c r="J15" s="279"/>
      <c r="K15" s="279"/>
      <c r="N15" s="44"/>
      <c r="O15" s="97"/>
      <c r="Q15" s="270"/>
      <c r="R15" s="9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row>
    <row r="16" spans="1:49" ht="19.5" customHeight="1" thickBot="1" x14ac:dyDescent="0.3">
      <c r="E16" s="263"/>
      <c r="F16" s="256" t="e">
        <f>F14/J25</f>
        <v>#DIV/0!</v>
      </c>
      <c r="G16" s="280" t="str">
        <f>IF(F14&gt;0,"Zet ventilatie door WW en/of stoffilter in 1 klik op 0 m3",IF(F20&gt;0,"Zet ventilatie door WW en/of stoffilter in 1 klik op 0 m3","  "))</f>
        <v xml:space="preserve">  </v>
      </c>
      <c r="H16" s="281"/>
      <c r="I16" s="279"/>
      <c r="J16" s="279"/>
      <c r="K16" s="279"/>
      <c r="Q16" s="270"/>
      <c r="R16" s="9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row>
    <row r="17" spans="3:49" ht="33" customHeight="1" thickBot="1" x14ac:dyDescent="0.35">
      <c r="E17" s="216"/>
      <c r="F17" s="215"/>
      <c r="G17" s="281"/>
      <c r="H17" s="281"/>
      <c r="I17" s="274" t="str">
        <f>IF(J11=0,"   ",IF(L20="chemische wasser 35%","Alle lucht moet door overige techniek vanwege ammoniak en/of geur",IF(L20="chemische wasser 70%","Alle lucht moet door overige techniek vanwege ammoniak en/of geur",IF(L20="Bio wasser 60%","Alle lucht moet door overige techniek vanwege ammoniak en/of geur",IF(L20="Bio wasser 75%","Alle lucht moet door overige techniek vanwege ammoniak en/of geur",IF(L20="Biofilter","Alle lucht moet door overige techniek vanwege ammoniak en/of geur","   "))))))</f>
        <v xml:space="preserve">   </v>
      </c>
      <c r="J17" s="275"/>
      <c r="K17" s="275"/>
      <c r="M17" s="274" t="str">
        <f>IF(F14&gt;0,IF(L20="Luchtconditioneringsunit","Twee keer eenzelfde type techniek in de uitgaande luchtstroom is niet logisch","    "),"   ")</f>
        <v xml:space="preserve">   </v>
      </c>
      <c r="N17" s="275"/>
      <c r="O17" s="275"/>
      <c r="P17" s="289"/>
      <c r="Q17" s="270"/>
      <c r="R17" s="9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row>
    <row r="18" spans="3:49" ht="20.45" customHeight="1" x14ac:dyDescent="0.3">
      <c r="E18" s="81" t="s">
        <v>97</v>
      </c>
      <c r="H18" s="226" t="str">
        <f>IF(F20=0,"Geen stoffilter","Droog stoffilter")</f>
        <v>Geen stoffilter</v>
      </c>
      <c r="I18" s="275"/>
      <c r="J18" s="275"/>
      <c r="K18" s="275"/>
      <c r="L18" s="229" t="s">
        <v>131</v>
      </c>
      <c r="M18" s="79"/>
      <c r="N18" s="79"/>
      <c r="Q18" s="270"/>
      <c r="R18" s="9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row>
    <row r="19" spans="3:49" ht="31.9" customHeight="1" x14ac:dyDescent="0.3">
      <c r="D19" s="189">
        <v>0</v>
      </c>
      <c r="E19" s="93" t="s">
        <v>115</v>
      </c>
      <c r="H19" s="225" t="str">
        <f>IF(F20=0,"    ","Reductie% stoffilter 99%")</f>
        <v xml:space="preserve">    </v>
      </c>
      <c r="I19" s="285"/>
      <c r="J19" s="286"/>
      <c r="K19" s="287"/>
      <c r="L19" s="230" t="str">
        <f>IF(L20="chemische wasser 35%","Potentieel reductie: 35%",IF(L20="chemische wasser 70%","Potentieel reductie: 70%",IF(L20="bio wasser 60%","Potentieel reductie: 60%",IF(L20="bio wasser 75%","Potentieel reductie: 75%",IF(L20="biofilter","Potentieel reductie: 80%",IF(L20="waterluchtwassysteem","Potentieel reductie: 33%",IF(L20="droogfilterwand","Potentieel reductie: 40%",IF(L20="ionisatiefilter","Potentieel reductie: 57%",IF(L20="luchtconditioneringsunit","Potentieel reductie:  80%","  ")))))))))</f>
        <v xml:space="preserve">  </v>
      </c>
      <c r="M19" s="282" t="str">
        <f>IF(F20&gt;0,IF(L20="chemische wasser 35%","Alle lucht moet door de luchtwasser of biofilter. De combinatie met een stoffilter is daarom niet mogelijk.",IF(L20="chemische wasser 70%","Alle lucht moet door de luchtwasser of biofilter. De combinatie met een stoffilter is daarom niet mogelijk.",IF(L20="bio wasser 60%","Alle lucht moet door de luchtwasser of biofilter. De combinatie met een stoffilter is daarom niet mogelijk.",IF(L20="bio wasser 75%","Alle lucht moet door de luchtwasser of biofilter. De combinatie met een stoffilter is daarom niet mogelijk.",IF(L20="biofilter","Alle lucht moet door de luchtwasser of biofilter. De combinatie met een stoffilter is daarom niet mogelijk.","  "))))),"   ")</f>
        <v xml:space="preserve">   </v>
      </c>
      <c r="N19" s="283"/>
      <c r="O19" s="283"/>
      <c r="P19" s="284"/>
      <c r="Q19" s="271"/>
      <c r="R19" s="9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row>
    <row r="20" spans="3:49" ht="24" customHeight="1" thickBot="1" x14ac:dyDescent="0.35">
      <c r="D20" s="42" t="s">
        <v>136</v>
      </c>
      <c r="E20" s="264" t="str">
        <f>IF(E19="geen staltechniek","    ",IF(E19="negatieve ionisatie",IF(E14="vleeskuikens","   ","Deze techniek kan alleen bij vleeskuikens"),IF(E19="strooiselschuif",IF(E14="leghennen voliere","   ","Deze techniek kan alleen bij leghennen voliere"),IF(E19="oliefilm bij voliere dmv leidingen",IF(E14="leghennen voliere","   ",IF(E14="opfok leghennen voliere","     ",IF(E14="Vleeskuikenouderdieren voliere","    ","Deze techniek kan alleen bij (opfok)leghennen en vleeskuikenouderdieren voliere"))),IF(E19="strooiselschuif icm oliefilm bij voliere dmv leidingen",IF(E14="leghennen voliere","   ","Deze techniek kan alleen bij leghennen voliere"),IF(E19="oliefilm dmv olierobot",IF(E14="opfok leghennen grondhuisvesting","    ",IF(E14="leghennen grondhuisvesting","    ",IF(E14="vleeskuikenouderdieren grondhuisvesting","    ","Deze techniek kan alleen bij grondhuisvesting"))),"   "))))))</f>
        <v xml:space="preserve">    </v>
      </c>
      <c r="F20" s="189">
        <f>MAX(0,IF(D14+D19&gt;J25*100,(J25*100-D14)/100,D19/100))</f>
        <v>0</v>
      </c>
      <c r="G20" s="42" t="s">
        <v>201</v>
      </c>
      <c r="H20" s="193">
        <f>IF(F14=0,'wisselend debiet en reductie'!$M$8*(1-E23),'wisselend debiet en reductie'!$P$8*(1-E23))</f>
        <v>0</v>
      </c>
      <c r="I20" s="288"/>
      <c r="J20" s="268"/>
      <c r="K20" s="268"/>
      <c r="L20" s="83" t="s">
        <v>117</v>
      </c>
      <c r="M20" s="283"/>
      <c r="N20" s="283"/>
      <c r="O20" s="283"/>
      <c r="P20" s="284"/>
      <c r="Q20" s="271"/>
      <c r="R20" s="9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row>
    <row r="21" spans="3:49" ht="40.15" customHeight="1" x14ac:dyDescent="0.3">
      <c r="D21" s="42" t="s">
        <v>120</v>
      </c>
      <c r="E21" s="265"/>
      <c r="F21" s="62">
        <f>J25-F14-F20</f>
        <v>0</v>
      </c>
      <c r="G21" s="42" t="s">
        <v>201</v>
      </c>
      <c r="H21" s="84"/>
      <c r="J21" s="58">
        <f>IF(L20="geen techniek",0,F21)</f>
        <v>0</v>
      </c>
      <c r="K21" s="78" t="s">
        <v>201</v>
      </c>
      <c r="L21" s="102" t="s">
        <v>139</v>
      </c>
      <c r="M21" s="96"/>
      <c r="N21" s="202"/>
      <c r="O21" s="170"/>
      <c r="Q21" s="271"/>
      <c r="R21" s="9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row>
    <row r="22" spans="3:49" ht="24.4" customHeight="1" x14ac:dyDescent="0.45">
      <c r="C22" s="60"/>
      <c r="D22" s="42" t="s">
        <v>119</v>
      </c>
      <c r="E22" s="64" t="s">
        <v>138</v>
      </c>
      <c r="F22" s="84" t="s">
        <v>116</v>
      </c>
      <c r="G22" s="84"/>
      <c r="H22" s="84" t="s">
        <v>24</v>
      </c>
      <c r="J22" s="58"/>
      <c r="L22" s="203">
        <f>(IF(I17="Alle lucht moet door overige techniek vanwege ammoniak en/of geur","error",IF(M17="Twee keer eenzelfde type techniek in de uitgaande luchtstroom is niet logisch","error",IF(L11="Combinatie met warmtewisselaar is niet toegestaan","error",IF(F20=0,IF(J13="ja",'wisselend debiet en reductie'!$U$8*(1-E23),'wisselend debiet en reductie'!$S$8*(1-E23)),IF(F14=0,'wisselend debiet en reductie'!$T$8*(1-E23),IF(F14&gt;0,IF(F20&gt;0,IF(J14=0,'wisselend debiet en reductie'!$V$8*(1-E23),IF(J14&gt;0,'wisselend debiet en reductie'!$U$8*(1-E23),'wisselend debiet en reductie'!$W$8*(1-E23)))))))))))</f>
        <v>0</v>
      </c>
      <c r="N22" s="171"/>
      <c r="O22" s="98"/>
      <c r="Q22" s="106">
        <f>ROUNDDOWN(100%-(1-E23)+(H20+H12)+L22,2)</f>
        <v>0</v>
      </c>
      <c r="R22" s="9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row>
    <row r="23" spans="3:49" ht="19.899999999999999" customHeight="1" x14ac:dyDescent="0.25">
      <c r="C23" s="60"/>
      <c r="D23" s="42" t="s">
        <v>118</v>
      </c>
      <c r="E23" s="178">
        <f>IF(E20="Deze techniek kan alleen bij grondhuisvesting","error",IF(E19="OLIEFILM DMV OLIEROBOT",30%,IF(E19="ionisatie d.m.v. koolstofborsteltjes",31%,IF(E19="ionisatie d.m.v. coronadraden",52%,IF(E19="ionisatie d.m.v. ionisatie-units",16%,0)))))</f>
        <v>0</v>
      </c>
      <c r="F23" s="58"/>
      <c r="G23" s="85">
        <f>J11+J14+J21+J23</f>
        <v>0</v>
      </c>
      <c r="H23" s="84"/>
      <c r="J23" s="58">
        <f>F20+F21-H16-J21</f>
        <v>0</v>
      </c>
      <c r="K23" s="42" t="s">
        <v>201</v>
      </c>
      <c r="L23" s="171"/>
      <c r="Q23" s="186"/>
      <c r="R23" s="9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row>
    <row r="24" spans="3:49" ht="19.149999999999999" customHeight="1" thickBot="1" x14ac:dyDescent="0.35">
      <c r="C24" s="60"/>
      <c r="D24" s="60"/>
      <c r="E24" s="231"/>
      <c r="F24" s="233" t="str">
        <f>IF(L20="Luchtconditioneringsunit",IF(H20&gt;0,"Niet alle lucht gaat door luchtconditioneringsunit, dus niet combineren met droog stoffilter","    "),"   ")</f>
        <v xml:space="preserve">   </v>
      </c>
      <c r="Q24" s="107"/>
      <c r="R24" s="9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row>
    <row r="25" spans="3:49" ht="21" x14ac:dyDescent="0.3">
      <c r="C25" s="60"/>
      <c r="D25" s="60" t="s">
        <v>115</v>
      </c>
      <c r="F25" s="100"/>
      <c r="G25" s="101"/>
      <c r="H25" s="103" t="s">
        <v>132</v>
      </c>
      <c r="J25" s="104">
        <f>IF(E14="Kies een categorie",0,IF(E14="OPFOK LEGHENNEN KOOI/KOLONIE",'Max waarden'!$B$6,IF(E14="opfok leghennen grondhuisvesting",'Max waarden'!$B$6,IF(E14="opfok leghennen voliere",'Max waarden'!$B$6,IF(E14="leghennen voliere",#REF!,IF(E14="leghennen grondhuisvesting",#REF!,IF(E14="leghennen verrijkte kooi/kolonie",#REF!,IF(E14="opfok vleeskuikenouderdieren",#REF!,IF(E14="vleeskuikenouderdieren groepskooi",vkod!$B$58,IF(E14="vleeskuikenouderdieren VOLIERE",vkod!$B$58,IF(E14="vleeskuikenouderdieren grondhuisvesting",vkod!$B$58,IF(E14="vleeskuikens",6.17619,IF(E14="kalkoen hennen",#REF!,IF(E14="kalkoen hanen",#REF!,IF(E14="vleeseenden",12.56)))))))))))))))</f>
        <v>0</v>
      </c>
      <c r="K25" s="105" t="s">
        <v>202</v>
      </c>
      <c r="L25" s="232"/>
      <c r="R25" s="9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row>
    <row r="26" spans="3:49" ht="15.6" customHeight="1" x14ac:dyDescent="0.3">
      <c r="C26" s="60"/>
      <c r="D26" s="221" t="s">
        <v>133</v>
      </c>
      <c r="E26" s="60"/>
      <c r="F26" s="60"/>
      <c r="G26" s="60"/>
      <c r="H26" s="60"/>
      <c r="I26" s="60"/>
      <c r="J26" s="65" t="str">
        <f>IF(G23&lt;&gt;J25,"Optelsom debiet klopt niet","   ")</f>
        <v xml:space="preserve">   </v>
      </c>
      <c r="K26" s="60"/>
      <c r="L26" s="60"/>
      <c r="M26" s="60"/>
      <c r="N26" s="60"/>
      <c r="O26" s="60"/>
      <c r="P26" s="60"/>
      <c r="Q26" s="60"/>
      <c r="R26" s="9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row>
    <row r="27" spans="3:49" ht="16.5" x14ac:dyDescent="0.3">
      <c r="C27" s="60"/>
      <c r="D27" s="234" t="s">
        <v>204</v>
      </c>
      <c r="E27" s="266" t="s">
        <v>199</v>
      </c>
      <c r="F27" s="267"/>
      <c r="G27" s="267"/>
      <c r="H27" s="267"/>
      <c r="I27" s="268"/>
      <c r="J27" s="89"/>
      <c r="K27" s="89"/>
      <c r="L27" s="89"/>
      <c r="M27" s="89"/>
      <c r="N27" s="89"/>
      <c r="O27" s="90"/>
      <c r="P27" s="89"/>
      <c r="Q27" s="89"/>
      <c r="R27" s="9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row>
    <row r="28" spans="3:49" ht="18.75" x14ac:dyDescent="0.25">
      <c r="C28" s="60"/>
      <c r="D28" s="234"/>
      <c r="E28" s="239"/>
      <c r="F28" s="239"/>
      <c r="G28" s="239"/>
      <c r="H28" s="239"/>
      <c r="I28" s="89"/>
      <c r="J28" s="89"/>
      <c r="K28" s="89"/>
      <c r="L28" s="89"/>
      <c r="M28" s="89"/>
      <c r="N28" s="89"/>
      <c r="O28" s="90"/>
      <c r="P28" s="89"/>
      <c r="Q28" s="89"/>
      <c r="R28" s="9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row>
    <row r="29" spans="3:49" ht="18.75" x14ac:dyDescent="0.3">
      <c r="C29" s="222"/>
      <c r="D29" s="234"/>
      <c r="E29" s="88"/>
      <c r="F29" s="88"/>
      <c r="G29" s="91"/>
      <c r="H29" s="92"/>
      <c r="I29" s="89"/>
      <c r="J29" s="89"/>
      <c r="K29" s="89"/>
      <c r="L29" s="89"/>
      <c r="M29" s="89"/>
      <c r="N29" s="89"/>
      <c r="O29" s="89"/>
      <c r="P29" s="89"/>
      <c r="Q29" s="89"/>
      <c r="R29" s="9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row>
    <row r="30" spans="3:49" ht="43.9" customHeight="1" x14ac:dyDescent="0.45">
      <c r="C30" s="60"/>
      <c r="E30" s="94"/>
      <c r="F30" s="88"/>
      <c r="G30" s="89"/>
      <c r="H30" s="89" t="s">
        <v>24</v>
      </c>
      <c r="I30" s="89"/>
      <c r="J30" s="89"/>
      <c r="K30" s="89"/>
      <c r="L30" s="89"/>
      <c r="M30" s="89"/>
      <c r="N30" s="89"/>
      <c r="O30" s="89"/>
      <c r="P30" s="89"/>
      <c r="Q30" s="89"/>
      <c r="R30" s="9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row>
    <row r="31" spans="3:49" x14ac:dyDescent="0.25">
      <c r="C31" s="223"/>
      <c r="D31" s="60"/>
      <c r="E31" s="63"/>
      <c r="F31" s="63"/>
      <c r="G31" s="223"/>
      <c r="H31" s="60"/>
      <c r="I31" s="60"/>
      <c r="J31" s="60"/>
      <c r="K31" s="60"/>
      <c r="L31" s="60"/>
      <c r="M31" s="60"/>
      <c r="N31" s="60"/>
      <c r="O31" s="60"/>
      <c r="P31" s="60"/>
      <c r="Q31" s="60"/>
      <c r="R31" s="9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row>
    <row r="32" spans="3:49" x14ac:dyDescent="0.25">
      <c r="C32" s="99"/>
      <c r="D32" s="217">
        <f>IF(H19="zonder stoffilter",IF(D33="opfok leghennen",IF(H12="warmtewisselaar 13%",0.2,IF(H12="warmtewisselaar 31%",0.43,IF(H12="warmtewisselaar 37%",0.55,IF(H12="warmtewisselaar 50%",0.78)))),IF(D33="leghennen",IF(H12="warmtewisselaar 13%",0.4,IF(H12="warmtewisselaar 31%",1,IF(H12="warmtewisselaar 37%",1.25,IF(H12="warmtewisselaar 50%",1.8)))),IF(E14="opfok vleeskuikenouderdieren",IF(H12="warmtewisselaar 13%",0.4,IF(H12="warmtewisselaar 31%",1,IF(H12="warmtewisselaar 37%",1.3,IF(H12="warmtewisselaar 50%",1.9)))),IF(D33="vleeskuikenouderdieren",IF(H12="warmtewisselaar 13%",0.6,IF(H12="warmtewisselaar 31%",1.5,IF(H12="warmtewisselaar 37%",1.85,IF(H12="warmtewisselaar 50%",2.9))))))+IF(E14="vleeskuikens",IF(H12="warmtewisselaar 13%",0.35,IF(H12="warmtewisselaar 31%",1,IF(H12="warmtewisselaar 37%",1.3,IF(H12="warmtewisselaar 50%",2,0)))))+IF(E14="vleeseenden",IF(H12="warmtewisselaar 13%",0.8,IF(H12="warmtewisselaar 31%",2.3,IF(H12="warmtewisselaar 37%",3.15,IF(H12="warmtewisselaar 50%",4.8)))))))+IF(E14="kalkoen hennen",IF(H12="warmtewisselaar 13%",1.1,IF(H12="warmtewisselaar 31%",3,IF(H12="warmtewisselaar 37%",3.85,IF(H12="warmtewisselaar 50%",5.6)))))+IF(E14="kalkoen hanen",IF(H12="warmtewisselaar 13%",2.5,IF(H12="warmtewisselaar 31%",6.2,IF(H12="warmtewisselaar 37%",8.2,IF(H12="warmtewisselaar 50%",11.7))))),0)+IF(H19="met stoffilter",IF(D33="opfok leghennen",IF(H12="warmtewisselaar 13%",0.15,IF(H12="warmtewisselaar 31%",0.35,IF(H12="warmtewisselaar 37%",0.4,IF(H12="warmtewisselaar 50%",0.6)))),IF(D33="leghennen",IF(H12="warmtewisselaar 13%",0.35,IF(H12="warmtewisselaar 31%",0.85,IF(H12="warmtewisselaar 37%",1,IF(H12="warmtewisselaar 50%",1.4)))),IF(E14="leghennen grondhuisvesting",IF(H12="warmtewisselaar 13%",0.35,IF(H12="warmtewisselaar 31%",0.85,IF(H12="warmtewisselaar 37%",1,IF(H12="warmtewisselaar 50%",1.4)))),IF(E14="opfok vleeskuikenouderdieren",IF(H12="warmtewisselaar 13%",0.35,IF(H12="warmtewisselaar 31%",0.85,IF(H12="warmtewisselaar 37%",1.1,IF(H12="warmtewisselaar 50%",1.45)))),IF(D33="vleeskuikenouderdieren",IF(H12="warmtewisselaar 13%",0.5,IF(H12="warmtewisselaar 31%",1.2,IF(H12="warmtewisselaar 37%",1.5,IF(H12="warmtewisselaar 50%",2.1))))))+IF(E14="vleeskuikens",IF(H12="warmtewisselaar 13%",0.3,IF(H12="warmtewisselaar 31%",0.75,IF(H12="warmtewisselaar 37%",1,IF(H12="warmtewisselaar 50%",1.45,0)))))+IF(E14="vleeseenden",IF(H12="warmtewisselaar 13%",0.7,IF(H12="warmtewisselaar 31%",1.9,IF(H12="warmtewisselaar 37%",2.3,IF(H12="warmtewisselaar 50%",3.6)))))))+IF(E14="kalkoen hennen",IF(H12="warmtewisselaar 13%",0.9,IF(H12="warmtewisselaar 31%",2.5,IF(H12="warmtewisselaar 37%",3,IF(H12="warmtewisselaar 50%",4.3)))))+IF(E14="kalkoen hanen",IF(H12="warmtewisselaar 13%",2.2,IF(H12="warmtewisselaar 31%",5.3,IF(H12="warmtewisselaar 37%",6.2,IF(H12="warmtewisselaar 50%",9)))))),0)</f>
        <v>0</v>
      </c>
      <c r="E32" s="99"/>
      <c r="F32" s="100"/>
      <c r="G32" s="99"/>
      <c r="H32" s="99"/>
      <c r="I32" s="99"/>
      <c r="J32" s="99"/>
      <c r="K32" s="99" t="s">
        <v>24</v>
      </c>
      <c r="L32" s="99"/>
      <c r="M32" s="99"/>
      <c r="N32" s="99"/>
      <c r="O32" s="99"/>
      <c r="P32" s="99"/>
      <c r="Q32" s="99"/>
      <c r="R32" s="9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row>
    <row r="33" spans="3:49" x14ac:dyDescent="0.25">
      <c r="C33" s="99"/>
      <c r="D33" s="99">
        <f>IF(E14="OPFOK LEGHENNEN KOOI/KOLONIE","opfok leghennen",IF(E14="opfok leghennen grondhuisvesting","opfok leghennen",IF(E14="opfok leghennen voliere","opfok leghennen",IF(E14="leghennen verrijkte kooi/kolonie","leghennen",IF(E14="leghennen grondhuisvesting","leghennen",IF(E14="leghennen voliere","leghennen",IF(E14="vleeskuikenouderdieren groepskooi","vleeskuikenouderdieren",IF(E14="vleeskuikenouderdieren grondhuisvesting","vleeskuikenouderdieren",IF(E14="vleeskuikenouderdieren voliere","vleeskuikenouderdieren",0)))))))))</f>
        <v>0</v>
      </c>
      <c r="E33" s="99"/>
      <c r="F33" s="99"/>
      <c r="G33" s="99"/>
      <c r="H33" s="99"/>
      <c r="I33" s="99"/>
      <c r="J33" s="99"/>
      <c r="K33" s="99"/>
      <c r="L33" s="99"/>
      <c r="M33" s="99"/>
      <c r="N33" s="99"/>
      <c r="O33" s="99"/>
      <c r="P33" s="99"/>
      <c r="Q33" s="99"/>
      <c r="R33" s="9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row>
    <row r="34" spans="3:49" x14ac:dyDescent="0.25">
      <c r="C34" s="99"/>
      <c r="D34" s="99"/>
      <c r="E34" s="99"/>
      <c r="F34" s="99"/>
      <c r="G34" s="99"/>
      <c r="H34" s="99"/>
      <c r="I34" s="99"/>
      <c r="J34" s="99"/>
      <c r="K34" s="99"/>
      <c r="L34" s="99"/>
      <c r="M34" s="99"/>
      <c r="N34" s="99"/>
      <c r="O34" s="99"/>
      <c r="P34" s="99"/>
      <c r="Q34" s="99"/>
      <c r="R34" s="9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row>
    <row r="35" spans="3:49" x14ac:dyDescent="0.25">
      <c r="R35" s="9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row>
    <row r="36" spans="3:49" x14ac:dyDescent="0.25">
      <c r="R36" s="9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row>
    <row r="37" spans="3:49" x14ac:dyDescent="0.25">
      <c r="R37" s="9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row>
    <row r="38" spans="3:49" x14ac:dyDescent="0.25">
      <c r="R38" s="9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row>
    <row r="39" spans="3:49" x14ac:dyDescent="0.25">
      <c r="R39" s="9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row>
    <row r="40" spans="3:49" x14ac:dyDescent="0.25">
      <c r="R40" s="9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row>
    <row r="41" spans="3:49" x14ac:dyDescent="0.25">
      <c r="R41" s="9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row>
    <row r="42" spans="3:49" ht="18.75" x14ac:dyDescent="0.35">
      <c r="L42" s="84" t="s">
        <v>125</v>
      </c>
      <c r="R42" s="9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row>
    <row r="43" spans="3:49" x14ac:dyDescent="0.25">
      <c r="R43" s="9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row>
    <row r="44" spans="3:49" x14ac:dyDescent="0.25">
      <c r="R44" s="9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row>
    <row r="45" spans="3:49" x14ac:dyDescent="0.25">
      <c r="R45" s="9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row>
    <row r="46" spans="3:49" x14ac:dyDescent="0.25">
      <c r="R46" s="9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row>
    <row r="47" spans="3:49" x14ac:dyDescent="0.25">
      <c r="R47" s="9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row>
    <row r="48" spans="3:49" x14ac:dyDescent="0.25">
      <c r="R48" s="9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row>
    <row r="49" spans="18:49" x14ac:dyDescent="0.25">
      <c r="R49" s="9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row>
    <row r="50" spans="18:49" x14ac:dyDescent="0.25">
      <c r="R50" s="9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row>
    <row r="51" spans="18:49" x14ac:dyDescent="0.25">
      <c r="R51" s="9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row>
    <row r="52" spans="18:49" x14ac:dyDescent="0.25">
      <c r="R52" s="9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row>
    <row r="53" spans="18:49" x14ac:dyDescent="0.25">
      <c r="R53" s="9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row>
    <row r="54" spans="18:49" x14ac:dyDescent="0.25">
      <c r="R54" s="9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row>
    <row r="55" spans="18:49" x14ac:dyDescent="0.25">
      <c r="R55" s="9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row>
    <row r="56" spans="18:49" x14ac:dyDescent="0.25">
      <c r="R56" s="9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row>
    <row r="57" spans="18:49" x14ac:dyDescent="0.25">
      <c r="R57" s="9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row>
    <row r="58" spans="18:49" x14ac:dyDescent="0.25">
      <c r="R58" s="9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row>
    <row r="59" spans="18:49" x14ac:dyDescent="0.25">
      <c r="R59" s="9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row>
    <row r="60" spans="18:49" x14ac:dyDescent="0.25">
      <c r="R60" s="9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row>
    <row r="61" spans="18:49" x14ac:dyDescent="0.25">
      <c r="R61" s="9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row>
    <row r="62" spans="18:49" x14ac:dyDescent="0.25">
      <c r="R62" s="9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row>
    <row r="63" spans="18:49" x14ac:dyDescent="0.25">
      <c r="R63" s="9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row>
    <row r="64" spans="18:49" x14ac:dyDescent="0.25">
      <c r="R64" s="9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row>
    <row r="65" spans="18:49" x14ac:dyDescent="0.25">
      <c r="R65" s="9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row>
    <row r="66" spans="18:49" x14ac:dyDescent="0.25">
      <c r="R66" s="9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row>
    <row r="67" spans="18:49" x14ac:dyDescent="0.25">
      <c r="R67" s="9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row>
    <row r="68" spans="18:49" x14ac:dyDescent="0.25">
      <c r="R68" s="9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row>
    <row r="69" spans="18:49" x14ac:dyDescent="0.25">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row>
  </sheetData>
  <sheetProtection algorithmName="SHA-512" hashValue="gunf/TRPT0M9KQJ+I1mQCT1vF1xWIm/jhj/WlvjEVDi+2eCRzEHKAui7P5VvfXH86a7P5RICnT3pRgDyDwiMmw==" saltValue="ZtL+v9jCr3SS7sfz09OQHw==" spinCount="100000" sheet="1" objects="1" scenarios="1"/>
  <mergeCells count="12">
    <mergeCell ref="E14:E16"/>
    <mergeCell ref="E20:E21"/>
    <mergeCell ref="E27:I27"/>
    <mergeCell ref="Q9:Q21"/>
    <mergeCell ref="L11:O13"/>
    <mergeCell ref="I17:K18"/>
    <mergeCell ref="L9:N9"/>
    <mergeCell ref="I15:K16"/>
    <mergeCell ref="G16:H17"/>
    <mergeCell ref="M19:P20"/>
    <mergeCell ref="I19:K20"/>
    <mergeCell ref="M17:P17"/>
  </mergeCells>
  <dataValidations count="2">
    <dataValidation type="list" allowBlank="1" showInputMessage="1" showErrorMessage="1" errorTitle="Keuze onjuist" error="Vul dit in met ja of nee." sqref="E19">
      <formula1>$D$25:$D$27</formula1>
    </dataValidation>
    <dataValidation type="list" allowBlank="1" showInputMessage="1" showErrorMessage="1" sqref="E14:E16">
      <formula1>$D$20:$D$23</formula1>
    </dataValidation>
  </dataValidations>
  <pageMargins left="0.7" right="0.7" top="0.75" bottom="0.75" header="0.3" footer="0.3"/>
  <pageSetup paperSize="9" scale="55" orientation="landscape" r:id="rId1"/>
  <rowBreaks count="1" manualBreakCount="1">
    <brk id="34" max="16383" man="1"/>
  </rowBreaks>
  <ignoredErrors>
    <ignoredError sqref="F14 F20 H12" unlockedFormula="1"/>
    <ignoredError sqref="H20 Q22 F1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77" r:id="rId4" name="Spinner 5">
              <controlPr defaultSize="0" autoPict="0">
                <anchor moveWithCells="1" sizeWithCells="1">
                  <from>
                    <xdr:col>6</xdr:col>
                    <xdr:colOff>76200</xdr:colOff>
                    <xdr:row>11</xdr:row>
                    <xdr:rowOff>47625</xdr:rowOff>
                  </from>
                  <to>
                    <xdr:col>6</xdr:col>
                    <xdr:colOff>361950</xdr:colOff>
                    <xdr:row>13</xdr:row>
                    <xdr:rowOff>19050</xdr:rowOff>
                  </to>
                </anchor>
              </controlPr>
            </control>
          </mc:Choice>
        </mc:AlternateContent>
        <mc:AlternateContent xmlns:mc="http://schemas.openxmlformats.org/markup-compatibility/2006">
          <mc:Choice Requires="x14">
            <control shapeId="3080" r:id="rId5" name="Spinner 8">
              <controlPr defaultSize="0" autoPict="0">
                <anchor moveWithCells="1" sizeWithCells="1">
                  <from>
                    <xdr:col>6</xdr:col>
                    <xdr:colOff>19050</xdr:colOff>
                    <xdr:row>17</xdr:row>
                    <xdr:rowOff>209550</xdr:rowOff>
                  </from>
                  <to>
                    <xdr:col>6</xdr:col>
                    <xdr:colOff>323850</xdr:colOff>
                    <xdr:row>19</xdr:row>
                    <xdr:rowOff>38100</xdr:rowOff>
                  </to>
                </anchor>
              </controlPr>
            </control>
          </mc:Choice>
        </mc:AlternateContent>
        <mc:AlternateContent xmlns:mc="http://schemas.openxmlformats.org/markup-compatibility/2006">
          <mc:Choice Requires="x14">
            <control shapeId="3093" r:id="rId6" name="Spinner 21">
              <controlPr defaultSize="0" autoPict="0">
                <anchor moveWithCells="1" sizeWithCells="1">
                  <from>
                    <xdr:col>15</xdr:col>
                    <xdr:colOff>1238250</xdr:colOff>
                    <xdr:row>6</xdr:row>
                    <xdr:rowOff>47625</xdr:rowOff>
                  </from>
                  <to>
                    <xdr:col>15</xdr:col>
                    <xdr:colOff>1495425</xdr:colOff>
                    <xdr:row>8</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errorTitle="Keuze onjuist" error="Vul dit in met ja of nee.">
          <x14:formula1>
            <xm:f>Reductietechnieken!$B$32:$B$41</xm:f>
          </x14:formula1>
          <xm:sqref>L20</xm:sqref>
        </x14:dataValidation>
        <x14:dataValidation type="list" allowBlank="1" showInputMessage="1" showErrorMessage="1" errorTitle="Keuze onjuist" error="Vul dit in met ja of nee.">
          <x14:formula1>
            <xm:f>Reductietechnieken!$B$52:$B$53</xm:f>
          </x14:formula1>
          <xm:sqref>H15</xm:sqref>
        </x14:dataValidation>
        <x14:dataValidation type="list" allowBlank="1" showInputMessage="1" showErrorMessage="1" errorTitle="Keuze onjuist" error="Vul dit in met ja of nee.">
          <x14:formula1>
            <xm:f>Reductietechnieken!$C$52:$C$53</xm:f>
          </x14:formula1>
          <xm:sqref>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84"/>
  <sheetViews>
    <sheetView zoomScale="80" zoomScaleNormal="80" workbookViewId="0">
      <pane xSplit="1" ySplit="8" topLeftCell="M9" activePane="bottomRight" state="frozen"/>
      <selection pane="topRight" activeCell="B1" sqref="B1"/>
      <selection pane="bottomLeft" activeCell="A9" sqref="A9"/>
      <selection pane="bottomRight" sqref="A1:AG1048576"/>
    </sheetView>
  </sheetViews>
  <sheetFormatPr defaultColWidth="10.7109375" defaultRowHeight="12.75" x14ac:dyDescent="0.2"/>
  <cols>
    <col min="1" max="2" width="10.5703125" style="1" hidden="1" customWidth="1"/>
    <col min="3" max="3" width="10.5703125" style="6" hidden="1" customWidth="1"/>
    <col min="4" max="22" width="10.5703125" style="1" hidden="1" customWidth="1"/>
    <col min="23" max="23" width="10.5703125" hidden="1" customWidth="1"/>
    <col min="24" max="33" width="10.5703125" style="1" hidden="1" customWidth="1"/>
    <col min="34" max="34" width="10.5703125" style="1" customWidth="1"/>
    <col min="35" max="16384" width="10.7109375" style="1"/>
  </cols>
  <sheetData>
    <row r="1" spans="1:32" s="17" customFormat="1" ht="73.150000000000006" customHeight="1" x14ac:dyDescent="0.2">
      <c r="C1" s="117"/>
      <c r="D1" s="14" t="s">
        <v>11</v>
      </c>
      <c r="E1" s="17" t="s">
        <v>141</v>
      </c>
      <c r="F1" s="17" t="s">
        <v>142</v>
      </c>
      <c r="G1" s="17" t="s">
        <v>143</v>
      </c>
      <c r="H1" s="17" t="s">
        <v>195</v>
      </c>
      <c r="I1" s="17" t="s">
        <v>196</v>
      </c>
      <c r="J1" s="17" t="s">
        <v>144</v>
      </c>
      <c r="K1" s="17" t="s">
        <v>205</v>
      </c>
      <c r="L1" s="17" t="s">
        <v>145</v>
      </c>
      <c r="M1" s="23" t="s">
        <v>184</v>
      </c>
      <c r="N1" s="118" t="s">
        <v>146</v>
      </c>
      <c r="O1" s="23" t="s">
        <v>185</v>
      </c>
      <c r="P1" s="23" t="s">
        <v>194</v>
      </c>
      <c r="Q1" s="175" t="s">
        <v>197</v>
      </c>
      <c r="R1" s="21" t="s">
        <v>187</v>
      </c>
      <c r="X1" s="119"/>
      <c r="Y1" s="119"/>
      <c r="Z1" s="119"/>
      <c r="AA1" s="119"/>
      <c r="AB1" s="290" t="s">
        <v>147</v>
      </c>
      <c r="AC1" s="290"/>
      <c r="AD1" s="290"/>
      <c r="AE1" s="290"/>
      <c r="AF1" s="290"/>
    </row>
    <row r="2" spans="1:32" s="17" customFormat="1" ht="16.899999999999999" customHeight="1" x14ac:dyDescent="0.2">
      <c r="C2" s="117"/>
      <c r="J2" s="1" t="s">
        <v>148</v>
      </c>
      <c r="M2" s="23"/>
      <c r="O2" s="23"/>
      <c r="P2" s="23"/>
      <c r="R2" s="120">
        <v>0</v>
      </c>
      <c r="S2" s="121" t="s">
        <v>149</v>
      </c>
      <c r="T2" s="121"/>
      <c r="X2" s="119"/>
      <c r="Y2" s="119"/>
      <c r="Z2" s="119"/>
      <c r="AA2" s="119"/>
      <c r="AB2" s="122"/>
      <c r="AC2" s="122"/>
      <c r="AD2" s="122"/>
      <c r="AE2" s="122"/>
      <c r="AF2" s="122"/>
    </row>
    <row r="3" spans="1:32" s="17" customFormat="1" ht="17.45" customHeight="1" x14ac:dyDescent="0.2">
      <c r="C3" s="117"/>
      <c r="J3" s="1">
        <f>+J4</f>
        <v>0</v>
      </c>
      <c r="M3" s="23"/>
      <c r="O3" s="23"/>
      <c r="P3" s="23"/>
      <c r="R3" s="120">
        <v>0.8</v>
      </c>
      <c r="S3" s="121" t="s">
        <v>181</v>
      </c>
      <c r="T3" s="121"/>
    </row>
    <row r="4" spans="1:32" s="17" customFormat="1" ht="17.45" customHeight="1" x14ac:dyDescent="0.2">
      <c r="C4" s="117"/>
      <c r="J4" s="17">
        <v>0</v>
      </c>
      <c r="M4" s="23"/>
      <c r="O4" s="23"/>
      <c r="P4" s="23"/>
      <c r="R4" s="167">
        <f>IF(VLEESKUIKENOUDERDIEREN!$H$16=0,VLEESKUIKENOUDERDIEREN!F14,VLEESKUIKENOUDERDIEREN!$H$16)</f>
        <v>0</v>
      </c>
      <c r="S4" s="121" t="s">
        <v>150</v>
      </c>
      <c r="T4" s="121"/>
      <c r="AC4" s="291" t="s">
        <v>151</v>
      </c>
      <c r="AD4" s="291"/>
      <c r="AE4" s="292" t="s">
        <v>152</v>
      </c>
      <c r="AF4" s="292"/>
    </row>
    <row r="5" spans="1:32" s="17" customFormat="1" ht="17.45" customHeight="1" x14ac:dyDescent="0.2">
      <c r="C5" s="117"/>
      <c r="M5" s="23"/>
      <c r="O5" s="23"/>
      <c r="P5" s="23"/>
      <c r="R5" s="167">
        <f>VLEESKUIKENOUDERDIEREN!$F$20</f>
        <v>0</v>
      </c>
      <c r="S5" s="121" t="s">
        <v>193</v>
      </c>
      <c r="T5" s="121"/>
      <c r="Y5" s="124"/>
      <c r="Z5" s="124"/>
      <c r="AB5" t="s">
        <v>153</v>
      </c>
      <c r="AC5" s="125" t="s">
        <v>154</v>
      </c>
      <c r="AD5" s="126" t="s">
        <v>155</v>
      </c>
      <c r="AE5" s="125" t="s">
        <v>154</v>
      </c>
      <c r="AF5" s="126" t="s">
        <v>155</v>
      </c>
    </row>
    <row r="6" spans="1:32" s="39" customFormat="1" x14ac:dyDescent="0.2">
      <c r="A6" s="17"/>
      <c r="B6" s="17"/>
      <c r="C6" s="117"/>
      <c r="D6" s="17"/>
      <c r="E6" s="17"/>
      <c r="F6" s="17"/>
      <c r="G6" s="17"/>
      <c r="H6" s="17"/>
      <c r="I6" s="17"/>
      <c r="J6" s="17"/>
      <c r="K6" s="17"/>
      <c r="L6" s="17"/>
      <c r="M6" s="23"/>
      <c r="N6" s="17"/>
      <c r="O6" s="23"/>
      <c r="P6" s="211"/>
      <c r="Q6" s="17"/>
      <c r="R6" s="123">
        <f>IF(VLEESKUIKENOUDERDIEREN!$L$20="chemische wasser 35%",35%,IF(VLEESKUIKENOUDERDIEREN!$L$20="chemische wasser 70%",70%,IF(VLEESKUIKENOUDERDIEREN!$L$20="bio wasser 60%",60%,IF(VLEESKUIKENOUDERDIEREN!$L$20="bio wasser 75%",75%,IF(VLEESKUIKENOUDERDIEREN!$L$20="biofilter",80%,IF(VLEESKUIKENOUDERDIEREN!$L$20="waterluchtwassysteem",33%,IF(VLEESKUIKENOUDERDIEREN!$L$20="droogfilterwand",40%,IF(VLEESKUIKENOUDERDIEREN!$L$20="ionisatiefilter",57%,IF(VLEESKUIKENOUDERDIEREN!$L$20="LUCHTCONDITIONERINGSUNIT",IF(VLEESKUIKENOUDERDIEREN!$F$24="Niet alle lucht gaat door luchtconditioneringsunit, dus niet combineren met droog stoffilter","error",80%),0)))))))))</f>
        <v>0</v>
      </c>
      <c r="S6" s="121" t="s">
        <v>183</v>
      </c>
      <c r="T6" s="121"/>
      <c r="W6" s="39" t="s">
        <v>24</v>
      </c>
      <c r="X6" s="17"/>
      <c r="AB6"/>
      <c r="AC6" s="127"/>
      <c r="AD6" s="128"/>
      <c r="AE6" s="127"/>
      <c r="AF6" s="128"/>
    </row>
    <row r="7" spans="1:32" x14ac:dyDescent="0.2">
      <c r="A7" s="17"/>
      <c r="B7" s="17"/>
      <c r="C7" s="117"/>
      <c r="D7" s="17"/>
      <c r="E7" s="17"/>
      <c r="F7" s="17"/>
      <c r="G7" s="17"/>
      <c r="H7" s="17"/>
      <c r="I7" s="17"/>
      <c r="J7" s="17"/>
      <c r="K7" s="17"/>
      <c r="L7" s="17"/>
      <c r="M7" s="23"/>
      <c r="N7" s="17"/>
      <c r="O7" s="23"/>
      <c r="P7" s="198">
        <f>$P$72</f>
        <v>0</v>
      </c>
      <c r="Q7" s="17"/>
      <c r="R7" s="213">
        <f>VLEESKUIKENOUDERDIEREN!$F$14</f>
        <v>0</v>
      </c>
      <c r="S7" s="121" t="s">
        <v>198</v>
      </c>
      <c r="T7" s="121"/>
      <c r="V7" s="169"/>
      <c r="W7" s="41"/>
      <c r="X7" s="17"/>
      <c r="AA7" s="17" t="s">
        <v>156</v>
      </c>
      <c r="AB7" s="129" t="s">
        <v>157</v>
      </c>
      <c r="AC7" s="130"/>
      <c r="AD7" s="131"/>
      <c r="AE7" s="130"/>
      <c r="AF7" s="131"/>
    </row>
    <row r="8" spans="1:32" x14ac:dyDescent="0.2">
      <c r="A8" s="17"/>
      <c r="B8" s="17"/>
      <c r="C8" s="117"/>
      <c r="D8" s="17"/>
      <c r="E8" s="17"/>
      <c r="F8" s="17"/>
      <c r="G8" s="17"/>
      <c r="H8" s="17"/>
      <c r="I8" s="17"/>
      <c r="J8" s="17"/>
      <c r="K8" s="17"/>
      <c r="L8" s="176">
        <f>$L$72+1</f>
        <v>1</v>
      </c>
      <c r="M8" s="198">
        <f>MIN(95%,$M$72)</f>
        <v>0</v>
      </c>
      <c r="N8" s="123">
        <f>$N$72</f>
        <v>0</v>
      </c>
      <c r="O8" s="198">
        <f>MIN(IF(O72&lt;20%,$O$72*1.06,IF(O72&lt;40%,O72*1.088,IF(O72&lt;80%,O72*1.06,O72))),80%)</f>
        <v>0</v>
      </c>
      <c r="P8" s="198">
        <f>$P$72</f>
        <v>0</v>
      </c>
      <c r="Q8" s="242">
        <f>MIN(IF(Q72&lt;20%,$Q$72*1.06,IF(Q72&lt;40%,Q72*1.06,IF(Q72&lt;70%,Q72*1.08,Q72*1.05))),95%)</f>
        <v>0</v>
      </c>
      <c r="R8" s="176">
        <f>ROUND($R$72,3)</f>
        <v>0</v>
      </c>
      <c r="S8" s="176">
        <f>ROUND($S$72,3)</f>
        <v>0</v>
      </c>
      <c r="T8" s="176">
        <f>ROUND($T$72,3)</f>
        <v>0</v>
      </c>
      <c r="U8" s="243">
        <f>$U$72+(Q72-Q8)</f>
        <v>0</v>
      </c>
      <c r="V8" s="176">
        <f>$V$72</f>
        <v>0</v>
      </c>
      <c r="W8" s="176">
        <f>$W$72</f>
        <v>0</v>
      </c>
      <c r="X8" s="132" t="s">
        <v>158</v>
      </c>
      <c r="AB8" s="133" t="s">
        <v>159</v>
      </c>
      <c r="AC8" s="134">
        <v>13</v>
      </c>
      <c r="AD8" s="135">
        <v>19</v>
      </c>
      <c r="AE8" s="134">
        <v>13</v>
      </c>
      <c r="AF8" s="135">
        <v>19</v>
      </c>
    </row>
    <row r="9" spans="1:32" ht="57" customHeight="1" x14ac:dyDescent="0.2">
      <c r="A9" s="39"/>
      <c r="B9" s="39"/>
      <c r="C9" s="115"/>
      <c r="D9" s="39"/>
      <c r="E9" s="39"/>
      <c r="F9" s="39"/>
      <c r="G9" s="39"/>
      <c r="H9" s="39"/>
      <c r="I9" s="39"/>
      <c r="J9" s="39"/>
      <c r="K9" s="136">
        <v>1</v>
      </c>
      <c r="L9" s="39"/>
      <c r="M9" s="199"/>
      <c r="N9" s="39"/>
      <c r="O9" s="199" t="s">
        <v>24</v>
      </c>
      <c r="P9" s="212">
        <f>O8+P8</f>
        <v>0</v>
      </c>
      <c r="Q9" s="39" t="s">
        <v>24</v>
      </c>
      <c r="R9" s="177" t="s">
        <v>192</v>
      </c>
      <c r="S9" s="172" t="s">
        <v>186</v>
      </c>
      <c r="T9" s="172" t="s">
        <v>188</v>
      </c>
      <c r="U9" s="179" t="s">
        <v>200</v>
      </c>
      <c r="V9" s="173" t="s">
        <v>182</v>
      </c>
      <c r="W9" s="196" t="s">
        <v>190</v>
      </c>
      <c r="X9" s="39"/>
      <c r="AB9" s="137" t="s">
        <v>160</v>
      </c>
      <c r="AC9" s="134">
        <v>3</v>
      </c>
      <c r="AD9" s="135">
        <v>3</v>
      </c>
      <c r="AE9" s="134">
        <v>3</v>
      </c>
      <c r="AF9" s="135">
        <v>3</v>
      </c>
    </row>
    <row r="10" spans="1:32" x14ac:dyDescent="0.2">
      <c r="D10" s="8">
        <v>-20</v>
      </c>
      <c r="E10" s="10">
        <v>1</v>
      </c>
      <c r="F10" s="7">
        <f t="shared" ref="F10:F25" si="0">E10-G10</f>
        <v>1</v>
      </c>
      <c r="G10" s="10">
        <f>IF($R$4&gt;0&lt;E10,E10,IF($R$4&gt;E10,E10,$R$4))</f>
        <v>0</v>
      </c>
      <c r="H10" s="187">
        <f t="shared" ref="H10:H49" si="1">IF(E10&lt;$R$5,E10-G10,$R$5)</f>
        <v>0</v>
      </c>
      <c r="I10" s="187">
        <f t="shared" ref="I10:I56" si="2">MIN(R$5,E10-G10)</f>
        <v>0</v>
      </c>
      <c r="J10" s="114">
        <f t="shared" ref="J10:J29" si="3">-0.052*F10+2.243</f>
        <v>2.1909999999999998</v>
      </c>
      <c r="K10" s="113">
        <v>6.7796610169491525E-2</v>
      </c>
      <c r="L10" s="9">
        <f>(J10/1000)*K10*E10</f>
        <v>1.4854237288135591E-4</v>
      </c>
      <c r="M10" s="200">
        <f>IF(E10&gt;$R$5,L10-(R$5)/E10*L10*99%,L10-(E10)/E10*L10*99%)</f>
        <v>1.4854237288135591E-4</v>
      </c>
      <c r="N10" s="138">
        <f>(((($J10*(1-$R$2))-$J$3)/1000*$F10*$K10)*(1-R$5))+(((($J10*(1-$R$2))-$J$3)/1000*$G10*$K10)*(1-R$3))</f>
        <v>1.4854237288135591E-4</v>
      </c>
      <c r="O10" s="200">
        <f>(((($J10)-$J$3)/1000*$F10*$K10))+(((($J10*(1-$R$2))-$J$3)/1000*$G10*$K10)*(1-R$3))</f>
        <v>1.4854237288135591E-4</v>
      </c>
      <c r="P10" s="200">
        <f t="shared" ref="P10:P64" si="4">IF(I10=0,L10,IF(I10&gt;$R$5,L10-(R$5)/E10*L10*95%,L10-(I10)/E10*L10*95%))</f>
        <v>1.4854237288135591E-4</v>
      </c>
      <c r="Q10" s="6">
        <f t="shared" ref="Q10:Q64" si="5">($J10-$J$3)/1000*$F10*$K10+($J10-$J$3)/1000*$G10*$K10*(1-95%)</f>
        <v>1.4854237288135591E-4</v>
      </c>
      <c r="R10" s="185">
        <f>IF(E10-G10-H10&gt;=0,L10-((E10-G10*80%-H10*95%)/E10*L10)*$R$6,IF(G10&gt;H10,L10-((E10-G10)/E10*L10)*$R$6,L10-((E10-H10)/E10*L10)*$R$6))</f>
        <v>1.4854237288135591E-4</v>
      </c>
      <c r="S10" s="185">
        <f>IF(E10-G10-H10&gt;=0,L10-((E10-G10-H10)/E10*L10)*$R$6,IF(G10&gt;H10,L10-((E10-G10)/E10*L10)*$R$6,L10-((E10-H10)/E10*L10)*$R$6))</f>
        <v>1.4854237288135591E-4</v>
      </c>
      <c r="T10" s="185">
        <f>L10-(E10-H10)/E10*L10*$R$6</f>
        <v>1.4854237288135591E-4</v>
      </c>
      <c r="U10" s="180">
        <f>IF(VLEESKUIKENOUDERDIEREN!$H$15="ja",L10-((E10-G10*95%-I10*95%)/E10*L10)*$R$6,L10-((E10-G10*80%-I10)/E10*L10)*$R$6)</f>
        <v>1.4854237288135591E-4</v>
      </c>
      <c r="V10" s="116">
        <f t="shared" ref="V10:V48" si="6">L10-((E10-G10-I10)/E10*L10)*$R$6</f>
        <v>1.4854237288135591E-4</v>
      </c>
      <c r="W10" s="197">
        <f>L10-(E10-H10)/E10*L10*$R$6</f>
        <v>1.4854237288135591E-4</v>
      </c>
      <c r="X10" s="227">
        <f>M10/L10</f>
        <v>1</v>
      </c>
      <c r="AB10" s="137" t="s">
        <v>161</v>
      </c>
      <c r="AC10" s="134">
        <f>AC26-AC8-AC9</f>
        <v>3</v>
      </c>
      <c r="AD10" s="135">
        <f>AD26-AD8-AD9</f>
        <v>11</v>
      </c>
      <c r="AE10" s="134">
        <f>AE26-AE8-AE9</f>
        <v>3</v>
      </c>
      <c r="AF10" s="135">
        <f>AF26-AF8-AF9</f>
        <v>11</v>
      </c>
    </row>
    <row r="11" spans="1:32" x14ac:dyDescent="0.2">
      <c r="D11" s="8">
        <v>-19</v>
      </c>
      <c r="E11" s="10">
        <v>1</v>
      </c>
      <c r="F11" s="7">
        <f t="shared" si="0"/>
        <v>1</v>
      </c>
      <c r="G11" s="10">
        <f t="shared" ref="G11:G65" si="7">IF($R$4&gt;0&lt;E11,E11,IF($R$4&gt;E11,E11,$R$4))</f>
        <v>0</v>
      </c>
      <c r="H11" s="187">
        <f t="shared" si="1"/>
        <v>0</v>
      </c>
      <c r="I11" s="187">
        <f t="shared" si="2"/>
        <v>0</v>
      </c>
      <c r="J11" s="114">
        <f t="shared" si="3"/>
        <v>2.1909999999999998</v>
      </c>
      <c r="K11" s="5">
        <v>8.4745762711864403E-2</v>
      </c>
      <c r="L11" s="9">
        <f t="shared" ref="L11:L65" si="8">(J11/1000)*K11*E11</f>
        <v>1.8567796610169488E-4</v>
      </c>
      <c r="M11" s="200">
        <f t="shared" ref="M11:M25" si="9">IF(E11&gt;$R$5,L11-(R$5)/E11*L11*99%,L11-(E11)/E11*L11*99%)</f>
        <v>1.8567796610169488E-4</v>
      </c>
      <c r="N11" s="138">
        <f t="shared" ref="N11:N65" si="10">(((($J11*(1-$R$2))-$J$3)/1000*$F11*$K11)*(1-R$5))+(((($J11*(1-$R$2))-$J$3)/1000*$G11*$K11)*(1-R$3))</f>
        <v>1.8567796610169488E-4</v>
      </c>
      <c r="O11" s="200">
        <f t="shared" ref="O11:O65" si="11">(((($J11)-$J$3)/1000*$F11*$K11))+(((($J11*(1-$R$2))-$J$3)/1000*$G11*$K11)*(1-R$3))</f>
        <v>1.8567796610169488E-4</v>
      </c>
      <c r="P11" s="200">
        <f t="shared" si="4"/>
        <v>1.8567796610169488E-4</v>
      </c>
      <c r="Q11" s="6">
        <f t="shared" si="5"/>
        <v>1.8567796610169488E-4</v>
      </c>
      <c r="R11" s="185">
        <f t="shared" ref="R11:R25" si="12">IF(E11-G11-H11&gt;=0,L11-((E11-G11*80%-H11*95%)/E11*L11)*$R$6,IF(G11&gt;H11,L11-((E11-G11)/E11*L11)*$R$6,L11-((E11-H11)/E11*L11)*$R$6))</f>
        <v>1.8567796610169488E-4</v>
      </c>
      <c r="S11" s="185">
        <f t="shared" ref="S11:S25" si="13">IF(E11-G11-H11&gt;=0,L11-((E11-G11-H11)/E11*L11)*$R$6,IF(G11&gt;H11,L11-((E11-G11)/E11*L11)*$R$6,L11-((E11-H11)/E11*L11)*$R$6))</f>
        <v>1.8567796610169488E-4</v>
      </c>
      <c r="T11" s="185">
        <f t="shared" ref="T11:T25" si="14">L11-(E11-H11)/E11*L11*$R$6</f>
        <v>1.8567796610169488E-4</v>
      </c>
      <c r="U11" s="180">
        <f>IF(VLEESKUIKENOUDERDIEREN!$H$15="ja",L11-((E11-G11*95%-I11*95%)/E11*L11)*$R$6,L11-((E11-G11*80%-I11)/E11*L11)*$R$6)</f>
        <v>1.8567796610169488E-4</v>
      </c>
      <c r="V11" s="116">
        <f t="shared" ref="V11:V25" si="15">L11-((E11-G11-I11)/E11*L11)*$R$6</f>
        <v>1.8567796610169488E-4</v>
      </c>
      <c r="W11" s="197">
        <f t="shared" ref="W11:W25" si="16">L11-(E11-H11)/E11*L11*$R$6</f>
        <v>1.8567796610169488E-4</v>
      </c>
      <c r="X11" s="227"/>
      <c r="AB11" s="137"/>
      <c r="AC11" s="134"/>
      <c r="AD11" s="135"/>
      <c r="AE11" s="134"/>
      <c r="AF11" s="135"/>
    </row>
    <row r="12" spans="1:32" x14ac:dyDescent="0.2">
      <c r="D12" s="8">
        <v>-18</v>
      </c>
      <c r="E12" s="10">
        <v>1</v>
      </c>
      <c r="F12" s="7">
        <f t="shared" si="0"/>
        <v>1</v>
      </c>
      <c r="G12" s="10">
        <f t="shared" si="7"/>
        <v>0</v>
      </c>
      <c r="H12" s="187">
        <f t="shared" si="1"/>
        <v>0</v>
      </c>
      <c r="I12" s="187">
        <f t="shared" si="2"/>
        <v>0</v>
      </c>
      <c r="J12" s="114">
        <f t="shared" si="3"/>
        <v>2.1909999999999998</v>
      </c>
      <c r="K12" s="5">
        <v>8.4745762711864403E-2</v>
      </c>
      <c r="L12" s="9">
        <f t="shared" si="8"/>
        <v>1.8567796610169488E-4</v>
      </c>
      <c r="M12" s="200">
        <f t="shared" si="9"/>
        <v>1.8567796610169488E-4</v>
      </c>
      <c r="N12" s="138">
        <f t="shared" si="10"/>
        <v>1.8567796610169488E-4</v>
      </c>
      <c r="O12" s="200">
        <f t="shared" si="11"/>
        <v>1.8567796610169488E-4</v>
      </c>
      <c r="P12" s="200">
        <f t="shared" si="4"/>
        <v>1.8567796610169488E-4</v>
      </c>
      <c r="Q12" s="6">
        <f t="shared" si="5"/>
        <v>1.8567796610169488E-4</v>
      </c>
      <c r="R12" s="185">
        <f t="shared" si="12"/>
        <v>1.8567796610169488E-4</v>
      </c>
      <c r="S12" s="185">
        <f t="shared" si="13"/>
        <v>1.8567796610169488E-4</v>
      </c>
      <c r="T12" s="185">
        <f t="shared" si="14"/>
        <v>1.8567796610169488E-4</v>
      </c>
      <c r="U12" s="180">
        <f>IF(VLEESKUIKENOUDERDIEREN!$H$15="ja",L12-((E12-G12*95%-I12*95%)/E12*L12)*$R$6,L12-((E12-G12*80%-I12)/E12*L12)*$R$6)</f>
        <v>1.8567796610169488E-4</v>
      </c>
      <c r="V12" s="116">
        <f t="shared" si="15"/>
        <v>1.8567796610169488E-4</v>
      </c>
      <c r="W12" s="197">
        <f t="shared" si="16"/>
        <v>1.8567796610169488E-4</v>
      </c>
      <c r="X12" s="227"/>
      <c r="AB12" s="137"/>
      <c r="AC12" s="134"/>
      <c r="AD12" s="135"/>
      <c r="AE12" s="134"/>
      <c r="AF12" s="135"/>
    </row>
    <row r="13" spans="1:32" x14ac:dyDescent="0.2">
      <c r="D13" s="8">
        <v>-17</v>
      </c>
      <c r="E13" s="10">
        <v>1</v>
      </c>
      <c r="F13" s="7">
        <f t="shared" si="0"/>
        <v>1</v>
      </c>
      <c r="G13" s="10">
        <f t="shared" si="7"/>
        <v>0</v>
      </c>
      <c r="H13" s="187">
        <f t="shared" si="1"/>
        <v>0</v>
      </c>
      <c r="I13" s="187">
        <f t="shared" si="2"/>
        <v>0</v>
      </c>
      <c r="J13" s="114">
        <f t="shared" si="3"/>
        <v>2.1909999999999998</v>
      </c>
      <c r="K13" s="5">
        <v>0.1864406779661017</v>
      </c>
      <c r="L13" s="9">
        <f t="shared" si="8"/>
        <v>4.0849152542372881E-4</v>
      </c>
      <c r="M13" s="200">
        <f t="shared" si="9"/>
        <v>4.0849152542372881E-4</v>
      </c>
      <c r="N13" s="138">
        <f t="shared" si="10"/>
        <v>4.0849152542372881E-4</v>
      </c>
      <c r="O13" s="200">
        <f t="shared" si="11"/>
        <v>4.0849152542372881E-4</v>
      </c>
      <c r="P13" s="200">
        <f t="shared" si="4"/>
        <v>4.0849152542372881E-4</v>
      </c>
      <c r="Q13" s="6">
        <f t="shared" si="5"/>
        <v>4.0849152542372881E-4</v>
      </c>
      <c r="R13" s="185">
        <f t="shared" si="12"/>
        <v>4.0849152542372881E-4</v>
      </c>
      <c r="S13" s="185">
        <f t="shared" si="13"/>
        <v>4.0849152542372881E-4</v>
      </c>
      <c r="T13" s="185">
        <f t="shared" si="14"/>
        <v>4.0849152542372881E-4</v>
      </c>
      <c r="U13" s="180">
        <f>IF(VLEESKUIKENOUDERDIEREN!$H$15="ja",L13-((E13-G13*95%-I13*95%)/E13*L13)*$R$6,L13-((E13-G13*80%-I13)/E13*L13)*$R$6)</f>
        <v>4.0849152542372881E-4</v>
      </c>
      <c r="V13" s="116">
        <f t="shared" si="15"/>
        <v>4.0849152542372881E-4</v>
      </c>
      <c r="W13" s="197">
        <f t="shared" si="16"/>
        <v>4.0849152542372881E-4</v>
      </c>
      <c r="X13" s="227"/>
      <c r="AB13" s="137"/>
      <c r="AC13" s="134"/>
      <c r="AD13" s="135"/>
      <c r="AE13" s="134"/>
      <c r="AF13" s="135"/>
    </row>
    <row r="14" spans="1:32" x14ac:dyDescent="0.2">
      <c r="D14" s="8">
        <v>-16</v>
      </c>
      <c r="E14" s="10">
        <v>1</v>
      </c>
      <c r="F14" s="7">
        <f t="shared" si="0"/>
        <v>1</v>
      </c>
      <c r="G14" s="10">
        <f t="shared" si="7"/>
        <v>0</v>
      </c>
      <c r="H14" s="187">
        <f t="shared" si="1"/>
        <v>0</v>
      </c>
      <c r="I14" s="187">
        <f t="shared" si="2"/>
        <v>0</v>
      </c>
      <c r="J14" s="114">
        <f t="shared" si="3"/>
        <v>2.1909999999999998</v>
      </c>
      <c r="K14" s="5">
        <v>0.38983050847457629</v>
      </c>
      <c r="L14" s="9">
        <f t="shared" si="8"/>
        <v>8.5411864406779656E-4</v>
      </c>
      <c r="M14" s="200">
        <f t="shared" si="9"/>
        <v>8.5411864406779656E-4</v>
      </c>
      <c r="N14" s="138">
        <f t="shared" si="10"/>
        <v>8.5411864406779656E-4</v>
      </c>
      <c r="O14" s="200">
        <f t="shared" si="11"/>
        <v>8.5411864406779656E-4</v>
      </c>
      <c r="P14" s="200">
        <f t="shared" si="4"/>
        <v>8.5411864406779656E-4</v>
      </c>
      <c r="Q14" s="6">
        <f t="shared" si="5"/>
        <v>8.5411864406779656E-4</v>
      </c>
      <c r="R14" s="185">
        <f t="shared" si="12"/>
        <v>8.5411864406779656E-4</v>
      </c>
      <c r="S14" s="185">
        <f t="shared" si="13"/>
        <v>8.5411864406779656E-4</v>
      </c>
      <c r="T14" s="185">
        <f t="shared" si="14"/>
        <v>8.5411864406779656E-4</v>
      </c>
      <c r="U14" s="180">
        <f>IF(VLEESKUIKENOUDERDIEREN!$H$15="ja",L14-((E14-G14*95%-I14*95%)/E14*L14)*$R$6,L14-((E14-G14*80%-I14)/E14*L14)*$R$6)</f>
        <v>8.5411864406779656E-4</v>
      </c>
      <c r="V14" s="116">
        <f t="shared" si="15"/>
        <v>8.5411864406779656E-4</v>
      </c>
      <c r="W14" s="197">
        <f t="shared" si="16"/>
        <v>8.5411864406779656E-4</v>
      </c>
      <c r="X14" s="227"/>
      <c r="AB14" s="137"/>
      <c r="AC14" s="134"/>
      <c r="AD14" s="135"/>
      <c r="AE14" s="134"/>
      <c r="AF14" s="135"/>
    </row>
    <row r="15" spans="1:32" x14ac:dyDescent="0.2">
      <c r="D15" s="8">
        <v>-15</v>
      </c>
      <c r="E15" s="10">
        <v>1</v>
      </c>
      <c r="F15" s="7">
        <f t="shared" si="0"/>
        <v>1</v>
      </c>
      <c r="G15" s="10">
        <f t="shared" si="7"/>
        <v>0</v>
      </c>
      <c r="H15" s="187">
        <f t="shared" si="1"/>
        <v>0</v>
      </c>
      <c r="I15" s="187">
        <f t="shared" si="2"/>
        <v>0</v>
      </c>
      <c r="J15" s="114">
        <f t="shared" si="3"/>
        <v>2.1909999999999998</v>
      </c>
      <c r="K15" s="5">
        <v>0.9152542372881356</v>
      </c>
      <c r="L15" s="9">
        <f t="shared" si="8"/>
        <v>2.0053220338983051E-3</v>
      </c>
      <c r="M15" s="200">
        <f t="shared" si="9"/>
        <v>2.0053220338983051E-3</v>
      </c>
      <c r="N15" s="138">
        <f t="shared" si="10"/>
        <v>2.0053220338983051E-3</v>
      </c>
      <c r="O15" s="200">
        <f t="shared" si="11"/>
        <v>2.0053220338983051E-3</v>
      </c>
      <c r="P15" s="200">
        <f t="shared" si="4"/>
        <v>2.0053220338983051E-3</v>
      </c>
      <c r="Q15" s="6">
        <f t="shared" si="5"/>
        <v>2.0053220338983051E-3</v>
      </c>
      <c r="R15" s="185">
        <f t="shared" si="12"/>
        <v>2.0053220338983051E-3</v>
      </c>
      <c r="S15" s="185">
        <f t="shared" si="13"/>
        <v>2.0053220338983051E-3</v>
      </c>
      <c r="T15" s="185">
        <f t="shared" si="14"/>
        <v>2.0053220338983051E-3</v>
      </c>
      <c r="U15" s="180">
        <f>IF(VLEESKUIKENOUDERDIEREN!$H$15="ja",L15-((E15-G15*95%-I15*95%)/E15*L15)*$R$6,L15-((E15-G15*80%-I15)/E15*L15)*$R$6)</f>
        <v>2.0053220338983051E-3</v>
      </c>
      <c r="V15" s="116">
        <f t="shared" si="15"/>
        <v>2.0053220338983051E-3</v>
      </c>
      <c r="W15" s="197">
        <f t="shared" si="16"/>
        <v>2.0053220338983051E-3</v>
      </c>
      <c r="X15" s="227"/>
      <c r="AB15" s="137"/>
      <c r="AC15" s="134"/>
      <c r="AD15" s="135"/>
      <c r="AE15" s="134"/>
      <c r="AF15" s="135"/>
    </row>
    <row r="16" spans="1:32" x14ac:dyDescent="0.2">
      <c r="D16" s="8">
        <v>-14</v>
      </c>
      <c r="E16" s="10">
        <v>1</v>
      </c>
      <c r="F16" s="7">
        <f t="shared" si="0"/>
        <v>1</v>
      </c>
      <c r="G16" s="10">
        <f t="shared" si="7"/>
        <v>0</v>
      </c>
      <c r="H16" s="187">
        <f t="shared" si="1"/>
        <v>0</v>
      </c>
      <c r="I16" s="187">
        <f t="shared" si="2"/>
        <v>0</v>
      </c>
      <c r="J16" s="114">
        <f t="shared" si="3"/>
        <v>2.1909999999999998</v>
      </c>
      <c r="K16" s="5">
        <v>1.1016949152542372</v>
      </c>
      <c r="L16" s="9">
        <f t="shared" si="8"/>
        <v>2.4138135593220335E-3</v>
      </c>
      <c r="M16" s="200">
        <f t="shared" si="9"/>
        <v>2.4138135593220335E-3</v>
      </c>
      <c r="N16" s="138">
        <f t="shared" si="10"/>
        <v>2.4138135593220335E-3</v>
      </c>
      <c r="O16" s="200">
        <f t="shared" si="11"/>
        <v>2.4138135593220335E-3</v>
      </c>
      <c r="P16" s="200">
        <f t="shared" si="4"/>
        <v>2.4138135593220335E-3</v>
      </c>
      <c r="Q16" s="6">
        <f t="shared" si="5"/>
        <v>2.4138135593220335E-3</v>
      </c>
      <c r="R16" s="185">
        <f t="shared" si="12"/>
        <v>2.4138135593220335E-3</v>
      </c>
      <c r="S16" s="185">
        <f t="shared" si="13"/>
        <v>2.4138135593220335E-3</v>
      </c>
      <c r="T16" s="185">
        <f t="shared" si="14"/>
        <v>2.4138135593220335E-3</v>
      </c>
      <c r="U16" s="180">
        <f>IF(VLEESKUIKENOUDERDIEREN!$H$15="ja",L16-((E16-G16*95%-I16*95%)/E16*L16)*$R$6,L16-((E16-G16*80%-I16)/E16*L16)*$R$6)</f>
        <v>2.4138135593220335E-3</v>
      </c>
      <c r="V16" s="116">
        <f t="shared" si="15"/>
        <v>2.4138135593220335E-3</v>
      </c>
      <c r="W16" s="197">
        <f t="shared" si="16"/>
        <v>2.4138135593220335E-3</v>
      </c>
      <c r="X16" s="227"/>
      <c r="AB16" s="137"/>
      <c r="AC16" s="134"/>
      <c r="AD16" s="135"/>
      <c r="AE16" s="134"/>
      <c r="AF16" s="135"/>
    </row>
    <row r="17" spans="4:32" x14ac:dyDescent="0.2">
      <c r="D17" s="8">
        <v>-13</v>
      </c>
      <c r="E17" s="10">
        <v>1</v>
      </c>
      <c r="F17" s="7">
        <f t="shared" si="0"/>
        <v>1</v>
      </c>
      <c r="G17" s="10">
        <f t="shared" si="7"/>
        <v>0</v>
      </c>
      <c r="H17" s="187">
        <f t="shared" si="1"/>
        <v>0</v>
      </c>
      <c r="I17" s="187">
        <f t="shared" si="2"/>
        <v>0</v>
      </c>
      <c r="J17" s="114">
        <f t="shared" si="3"/>
        <v>2.1909999999999998</v>
      </c>
      <c r="K17" s="5">
        <v>2.0677966101694913</v>
      </c>
      <c r="L17" s="9">
        <f t="shared" si="8"/>
        <v>4.5305423728813554E-3</v>
      </c>
      <c r="M17" s="200">
        <f t="shared" si="9"/>
        <v>4.5305423728813554E-3</v>
      </c>
      <c r="N17" s="138">
        <f t="shared" si="10"/>
        <v>4.5305423728813554E-3</v>
      </c>
      <c r="O17" s="200">
        <f t="shared" si="11"/>
        <v>4.5305423728813554E-3</v>
      </c>
      <c r="P17" s="200">
        <f t="shared" si="4"/>
        <v>4.5305423728813554E-3</v>
      </c>
      <c r="Q17" s="6">
        <f t="shared" si="5"/>
        <v>4.5305423728813554E-3</v>
      </c>
      <c r="R17" s="185">
        <f t="shared" si="12"/>
        <v>4.5305423728813554E-3</v>
      </c>
      <c r="S17" s="185">
        <f t="shared" si="13"/>
        <v>4.5305423728813554E-3</v>
      </c>
      <c r="T17" s="185">
        <f t="shared" si="14"/>
        <v>4.5305423728813554E-3</v>
      </c>
      <c r="U17" s="180">
        <f>IF(VLEESKUIKENOUDERDIEREN!$H$15="ja",L17-((E17-G17*95%-I17*95%)/E17*L17)*$R$6,L17-((E17-G17*80%-I17)/E17*L17)*$R$6)</f>
        <v>4.5305423728813554E-3</v>
      </c>
      <c r="V17" s="116">
        <f t="shared" si="15"/>
        <v>4.5305423728813554E-3</v>
      </c>
      <c r="W17" s="197">
        <f t="shared" si="16"/>
        <v>4.5305423728813554E-3</v>
      </c>
      <c r="X17" s="227"/>
      <c r="AB17" s="137"/>
      <c r="AC17" s="134"/>
      <c r="AD17" s="135"/>
      <c r="AE17" s="134"/>
      <c r="AF17" s="135"/>
    </row>
    <row r="18" spans="4:32" x14ac:dyDescent="0.2">
      <c r="D18" s="8">
        <v>-12</v>
      </c>
      <c r="E18" s="10">
        <v>1</v>
      </c>
      <c r="F18" s="7">
        <f t="shared" si="0"/>
        <v>1</v>
      </c>
      <c r="G18" s="10">
        <f t="shared" si="7"/>
        <v>0</v>
      </c>
      <c r="H18" s="187">
        <f t="shared" si="1"/>
        <v>0</v>
      </c>
      <c r="I18" s="187">
        <f t="shared" si="2"/>
        <v>0</v>
      </c>
      <c r="J18" s="114">
        <f t="shared" si="3"/>
        <v>2.1909999999999998</v>
      </c>
      <c r="K18" s="5">
        <v>2.6610169491525424</v>
      </c>
      <c r="L18" s="9">
        <f t="shared" si="8"/>
        <v>5.8302881355932201E-3</v>
      </c>
      <c r="M18" s="200">
        <f t="shared" si="9"/>
        <v>5.8302881355932201E-3</v>
      </c>
      <c r="N18" s="138">
        <f t="shared" si="10"/>
        <v>5.8302881355932201E-3</v>
      </c>
      <c r="O18" s="200">
        <f t="shared" si="11"/>
        <v>5.8302881355932201E-3</v>
      </c>
      <c r="P18" s="200">
        <f t="shared" si="4"/>
        <v>5.8302881355932201E-3</v>
      </c>
      <c r="Q18" s="6">
        <f t="shared" si="5"/>
        <v>5.8302881355932201E-3</v>
      </c>
      <c r="R18" s="185">
        <f t="shared" si="12"/>
        <v>5.8302881355932201E-3</v>
      </c>
      <c r="S18" s="185">
        <f t="shared" si="13"/>
        <v>5.8302881355932201E-3</v>
      </c>
      <c r="T18" s="185">
        <f t="shared" si="14"/>
        <v>5.8302881355932201E-3</v>
      </c>
      <c r="U18" s="180">
        <f>IF(VLEESKUIKENOUDERDIEREN!$H$15="ja",L18-((E18-G18*95%-I18*95%)/E18*L18)*$R$6,L18-((E18-G18*80%-I18)/E18*L18)*$R$6)</f>
        <v>5.8302881355932201E-3</v>
      </c>
      <c r="V18" s="116">
        <f t="shared" si="15"/>
        <v>5.8302881355932201E-3</v>
      </c>
      <c r="W18" s="197">
        <f t="shared" si="16"/>
        <v>5.8302881355932201E-3</v>
      </c>
      <c r="X18" s="227"/>
      <c r="AB18" s="137"/>
      <c r="AC18" s="134"/>
      <c r="AD18" s="135"/>
      <c r="AE18" s="134"/>
      <c r="AF18" s="135"/>
    </row>
    <row r="19" spans="4:32" x14ac:dyDescent="0.2">
      <c r="D19" s="8">
        <v>-11</v>
      </c>
      <c r="E19" s="10">
        <v>1</v>
      </c>
      <c r="F19" s="7">
        <f t="shared" si="0"/>
        <v>1</v>
      </c>
      <c r="G19" s="10">
        <f t="shared" si="7"/>
        <v>0</v>
      </c>
      <c r="H19" s="187">
        <f t="shared" si="1"/>
        <v>0</v>
      </c>
      <c r="I19" s="187">
        <f t="shared" si="2"/>
        <v>0</v>
      </c>
      <c r="J19" s="114">
        <f t="shared" si="3"/>
        <v>2.1909999999999998</v>
      </c>
      <c r="K19" s="5">
        <v>4.0677966101694913</v>
      </c>
      <c r="L19" s="9">
        <f t="shared" si="8"/>
        <v>8.912542372881355E-3</v>
      </c>
      <c r="M19" s="200">
        <f t="shared" si="9"/>
        <v>8.912542372881355E-3</v>
      </c>
      <c r="N19" s="138">
        <f t="shared" si="10"/>
        <v>8.912542372881355E-3</v>
      </c>
      <c r="O19" s="200">
        <f t="shared" si="11"/>
        <v>8.912542372881355E-3</v>
      </c>
      <c r="P19" s="200">
        <f t="shared" si="4"/>
        <v>8.912542372881355E-3</v>
      </c>
      <c r="Q19" s="6">
        <f t="shared" si="5"/>
        <v>8.912542372881355E-3</v>
      </c>
      <c r="R19" s="185">
        <f t="shared" si="12"/>
        <v>8.912542372881355E-3</v>
      </c>
      <c r="S19" s="185">
        <f t="shared" si="13"/>
        <v>8.912542372881355E-3</v>
      </c>
      <c r="T19" s="185">
        <f t="shared" si="14"/>
        <v>8.912542372881355E-3</v>
      </c>
      <c r="U19" s="180">
        <f>IF(VLEESKUIKENOUDERDIEREN!$H$15="ja",L19-((E19-G19*95%-I19*95%)/E19*L19)*$R$6,L19-((E19-G19*80%-I19)/E19*L19)*$R$6)</f>
        <v>8.912542372881355E-3</v>
      </c>
      <c r="V19" s="116">
        <f t="shared" si="15"/>
        <v>8.912542372881355E-3</v>
      </c>
      <c r="W19" s="197">
        <f t="shared" si="16"/>
        <v>8.912542372881355E-3</v>
      </c>
      <c r="X19" s="227"/>
      <c r="AB19" s="137"/>
      <c r="AC19" s="134"/>
      <c r="AD19" s="135"/>
      <c r="AE19" s="134"/>
      <c r="AF19" s="135"/>
    </row>
    <row r="20" spans="4:32" x14ac:dyDescent="0.2">
      <c r="D20" s="8">
        <v>-10</v>
      </c>
      <c r="E20" s="10">
        <v>1</v>
      </c>
      <c r="F20" s="7">
        <f t="shared" si="0"/>
        <v>1</v>
      </c>
      <c r="G20" s="10">
        <f t="shared" si="7"/>
        <v>0</v>
      </c>
      <c r="H20" s="187">
        <f t="shared" si="1"/>
        <v>0</v>
      </c>
      <c r="I20" s="187">
        <f t="shared" si="2"/>
        <v>0</v>
      </c>
      <c r="J20" s="114">
        <f t="shared" si="3"/>
        <v>2.1909999999999998</v>
      </c>
      <c r="K20" s="5">
        <v>7.101694915254237</v>
      </c>
      <c r="L20" s="9">
        <f t="shared" si="8"/>
        <v>1.5559813559322032E-2</v>
      </c>
      <c r="M20" s="200">
        <f t="shared" si="9"/>
        <v>1.5559813559322032E-2</v>
      </c>
      <c r="N20" s="138">
        <f t="shared" si="10"/>
        <v>1.5559813559322032E-2</v>
      </c>
      <c r="O20" s="200">
        <f t="shared" si="11"/>
        <v>1.5559813559322032E-2</v>
      </c>
      <c r="P20" s="200">
        <f t="shared" si="4"/>
        <v>1.5559813559322032E-2</v>
      </c>
      <c r="Q20" s="6">
        <f t="shared" si="5"/>
        <v>1.5559813559322032E-2</v>
      </c>
      <c r="R20" s="185">
        <f t="shared" si="12"/>
        <v>1.5559813559322032E-2</v>
      </c>
      <c r="S20" s="185">
        <f t="shared" si="13"/>
        <v>1.5559813559322032E-2</v>
      </c>
      <c r="T20" s="185">
        <f t="shared" si="14"/>
        <v>1.5559813559322032E-2</v>
      </c>
      <c r="U20" s="180">
        <f>IF(VLEESKUIKENOUDERDIEREN!$H$15="ja",L20-((E20-G20*95%-I20*95%)/E20*L20)*$R$6,L20-((E20-G20*80%-I20)/E20*L20)*$R$6)</f>
        <v>1.5559813559322032E-2</v>
      </c>
      <c r="V20" s="116">
        <f t="shared" si="15"/>
        <v>1.5559813559322032E-2</v>
      </c>
      <c r="W20" s="197">
        <f t="shared" si="16"/>
        <v>1.5559813559322032E-2</v>
      </c>
      <c r="X20" s="227"/>
      <c r="AB20" s="137"/>
      <c r="AC20" s="134"/>
      <c r="AD20" s="135"/>
      <c r="AE20" s="134"/>
      <c r="AF20" s="135"/>
    </row>
    <row r="21" spans="4:32" x14ac:dyDescent="0.2">
      <c r="D21" s="8">
        <v>-9</v>
      </c>
      <c r="E21" s="10">
        <v>1</v>
      </c>
      <c r="F21" s="7">
        <f t="shared" si="0"/>
        <v>1</v>
      </c>
      <c r="G21" s="10">
        <f t="shared" si="7"/>
        <v>0</v>
      </c>
      <c r="H21" s="187">
        <f t="shared" si="1"/>
        <v>0</v>
      </c>
      <c r="I21" s="187">
        <f t="shared" si="2"/>
        <v>0</v>
      </c>
      <c r="J21" s="114">
        <f t="shared" si="3"/>
        <v>2.1909999999999998</v>
      </c>
      <c r="K21" s="5">
        <v>10.338983050847459</v>
      </c>
      <c r="L21" s="9">
        <f t="shared" si="8"/>
        <v>2.2652711864406781E-2</v>
      </c>
      <c r="M21" s="200">
        <f t="shared" si="9"/>
        <v>2.2652711864406781E-2</v>
      </c>
      <c r="N21" s="138">
        <f t="shared" si="10"/>
        <v>2.2652711864406781E-2</v>
      </c>
      <c r="O21" s="200">
        <f t="shared" si="11"/>
        <v>2.2652711864406781E-2</v>
      </c>
      <c r="P21" s="200">
        <f t="shared" si="4"/>
        <v>2.2652711864406781E-2</v>
      </c>
      <c r="Q21" s="6">
        <f t="shared" si="5"/>
        <v>2.2652711864406781E-2</v>
      </c>
      <c r="R21" s="185">
        <f t="shared" si="12"/>
        <v>2.2652711864406781E-2</v>
      </c>
      <c r="S21" s="185">
        <f t="shared" si="13"/>
        <v>2.2652711864406781E-2</v>
      </c>
      <c r="T21" s="185">
        <f t="shared" si="14"/>
        <v>2.2652711864406781E-2</v>
      </c>
      <c r="U21" s="180">
        <f>IF(VLEESKUIKENOUDERDIEREN!$H$15="ja",L21-((E21-G21*95%-I21*95%)/E21*L21)*$R$6,L21-((E21-G21*80%-I21)/E21*L21)*$R$6)</f>
        <v>2.2652711864406781E-2</v>
      </c>
      <c r="V21" s="116">
        <f t="shared" si="15"/>
        <v>2.2652711864406781E-2</v>
      </c>
      <c r="W21" s="197">
        <f t="shared" si="16"/>
        <v>2.2652711864406781E-2</v>
      </c>
      <c r="X21" s="227"/>
      <c r="AB21" s="137"/>
      <c r="AC21" s="134"/>
      <c r="AD21" s="135"/>
      <c r="AE21" s="134"/>
      <c r="AF21" s="135"/>
    </row>
    <row r="22" spans="4:32" x14ac:dyDescent="0.2">
      <c r="D22" s="8">
        <v>-8</v>
      </c>
      <c r="E22" s="10">
        <v>1</v>
      </c>
      <c r="F22" s="7">
        <f t="shared" si="0"/>
        <v>1</v>
      </c>
      <c r="G22" s="10">
        <f t="shared" si="7"/>
        <v>0</v>
      </c>
      <c r="H22" s="187">
        <f t="shared" si="1"/>
        <v>0</v>
      </c>
      <c r="I22" s="187">
        <f t="shared" si="2"/>
        <v>0</v>
      </c>
      <c r="J22" s="114">
        <f t="shared" si="3"/>
        <v>2.1909999999999998</v>
      </c>
      <c r="K22" s="5">
        <v>14.322033898305085</v>
      </c>
      <c r="L22" s="9">
        <f t="shared" si="8"/>
        <v>3.1379576271186441E-2</v>
      </c>
      <c r="M22" s="200">
        <f t="shared" si="9"/>
        <v>3.1379576271186441E-2</v>
      </c>
      <c r="N22" s="138">
        <f t="shared" si="10"/>
        <v>3.1379576271186441E-2</v>
      </c>
      <c r="O22" s="200">
        <f t="shared" si="11"/>
        <v>3.1379576271186441E-2</v>
      </c>
      <c r="P22" s="200">
        <f t="shared" si="4"/>
        <v>3.1379576271186441E-2</v>
      </c>
      <c r="Q22" s="6">
        <f t="shared" si="5"/>
        <v>3.1379576271186441E-2</v>
      </c>
      <c r="R22" s="185">
        <f t="shared" si="12"/>
        <v>3.1379576271186441E-2</v>
      </c>
      <c r="S22" s="185">
        <f t="shared" si="13"/>
        <v>3.1379576271186441E-2</v>
      </c>
      <c r="T22" s="185">
        <f t="shared" si="14"/>
        <v>3.1379576271186441E-2</v>
      </c>
      <c r="U22" s="180">
        <f>IF(VLEESKUIKENOUDERDIEREN!$H$15="ja",L22-((E22-G22*95%-I22*95%)/E22*L22)*$R$6,L22-((E22-G22*80%-I22)/E22*L22)*$R$6)</f>
        <v>3.1379576271186441E-2</v>
      </c>
      <c r="V22" s="116">
        <f t="shared" si="15"/>
        <v>3.1379576271186441E-2</v>
      </c>
      <c r="W22" s="197">
        <f t="shared" si="16"/>
        <v>3.1379576271186441E-2</v>
      </c>
      <c r="X22" s="227"/>
      <c r="AB22" s="137"/>
      <c r="AC22" s="134"/>
      <c r="AD22" s="135"/>
      <c r="AE22" s="134"/>
      <c r="AF22" s="135"/>
    </row>
    <row r="23" spans="4:32" x14ac:dyDescent="0.2">
      <c r="D23" s="8">
        <v>-7</v>
      </c>
      <c r="E23" s="10">
        <v>1</v>
      </c>
      <c r="F23" s="7">
        <f t="shared" si="0"/>
        <v>1</v>
      </c>
      <c r="G23" s="10">
        <f t="shared" si="7"/>
        <v>0</v>
      </c>
      <c r="H23" s="187">
        <f t="shared" si="1"/>
        <v>0</v>
      </c>
      <c r="I23" s="187">
        <f t="shared" si="2"/>
        <v>0</v>
      </c>
      <c r="J23" s="114">
        <f t="shared" si="3"/>
        <v>2.1909999999999998</v>
      </c>
      <c r="K23" s="5">
        <v>20.237288135593221</v>
      </c>
      <c r="L23" s="9">
        <f t="shared" si="8"/>
        <v>4.4339898305084745E-2</v>
      </c>
      <c r="M23" s="200">
        <f t="shared" si="9"/>
        <v>4.4339898305084745E-2</v>
      </c>
      <c r="N23" s="138">
        <f t="shared" si="10"/>
        <v>4.4339898305084745E-2</v>
      </c>
      <c r="O23" s="200">
        <f t="shared" si="11"/>
        <v>4.4339898305084745E-2</v>
      </c>
      <c r="P23" s="200">
        <f t="shared" si="4"/>
        <v>4.4339898305084745E-2</v>
      </c>
      <c r="Q23" s="6">
        <f t="shared" si="5"/>
        <v>4.4339898305084745E-2</v>
      </c>
      <c r="R23" s="185">
        <f t="shared" si="12"/>
        <v>4.4339898305084745E-2</v>
      </c>
      <c r="S23" s="185">
        <f t="shared" si="13"/>
        <v>4.4339898305084745E-2</v>
      </c>
      <c r="T23" s="185">
        <f t="shared" si="14"/>
        <v>4.4339898305084745E-2</v>
      </c>
      <c r="U23" s="180">
        <f>IF(VLEESKUIKENOUDERDIEREN!$H$15="ja",L23-((E23-G23*95%-I23*95%)/E23*L23)*$R$6,L23-((E23-G23*80%-I23)/E23*L23)*$R$6)</f>
        <v>4.4339898305084745E-2</v>
      </c>
      <c r="V23" s="116">
        <f t="shared" si="15"/>
        <v>4.4339898305084745E-2</v>
      </c>
      <c r="W23" s="197">
        <f t="shared" si="16"/>
        <v>4.4339898305084745E-2</v>
      </c>
      <c r="X23" s="227"/>
      <c r="AB23" s="137"/>
      <c r="AC23" s="134"/>
      <c r="AD23" s="135"/>
      <c r="AE23" s="134"/>
      <c r="AF23" s="135"/>
    </row>
    <row r="24" spans="4:32" x14ac:dyDescent="0.2">
      <c r="D24" s="8">
        <v>-6</v>
      </c>
      <c r="E24" s="10">
        <v>1</v>
      </c>
      <c r="F24" s="7">
        <f t="shared" si="0"/>
        <v>1</v>
      </c>
      <c r="G24" s="10">
        <f t="shared" si="7"/>
        <v>0</v>
      </c>
      <c r="H24" s="187">
        <f t="shared" si="1"/>
        <v>0</v>
      </c>
      <c r="I24" s="187">
        <f t="shared" si="2"/>
        <v>0</v>
      </c>
      <c r="J24" s="114">
        <f t="shared" si="3"/>
        <v>2.1909999999999998</v>
      </c>
      <c r="K24" s="5">
        <v>25.983050847457626</v>
      </c>
      <c r="L24" s="9">
        <f t="shared" si="8"/>
        <v>5.6928864406779654E-2</v>
      </c>
      <c r="M24" s="200">
        <f t="shared" si="9"/>
        <v>5.6928864406779654E-2</v>
      </c>
      <c r="N24" s="138">
        <f t="shared" si="10"/>
        <v>5.6928864406779654E-2</v>
      </c>
      <c r="O24" s="200">
        <f t="shared" si="11"/>
        <v>5.6928864406779654E-2</v>
      </c>
      <c r="P24" s="200">
        <f t="shared" si="4"/>
        <v>5.6928864406779654E-2</v>
      </c>
      <c r="Q24" s="6">
        <f t="shared" si="5"/>
        <v>5.6928864406779654E-2</v>
      </c>
      <c r="R24" s="185">
        <f t="shared" si="12"/>
        <v>5.6928864406779654E-2</v>
      </c>
      <c r="S24" s="185">
        <f t="shared" si="13"/>
        <v>5.6928864406779654E-2</v>
      </c>
      <c r="T24" s="185">
        <f t="shared" si="14"/>
        <v>5.6928864406779654E-2</v>
      </c>
      <c r="U24" s="180">
        <f>IF(VLEESKUIKENOUDERDIEREN!$H$15="ja",L24-((E24-G24*95%-I24*95%)/E24*L24)*$R$6,L24-((E24-G24*80%-I24)/E24*L24)*$R$6)</f>
        <v>5.6928864406779654E-2</v>
      </c>
      <c r="V24" s="116">
        <f t="shared" si="15"/>
        <v>5.6928864406779654E-2</v>
      </c>
      <c r="W24" s="197">
        <f t="shared" si="16"/>
        <v>5.6928864406779654E-2</v>
      </c>
      <c r="X24" s="227"/>
      <c r="AB24" s="137"/>
      <c r="AC24" s="134"/>
      <c r="AD24" s="135"/>
      <c r="AE24" s="134"/>
      <c r="AF24" s="135"/>
    </row>
    <row r="25" spans="4:32" x14ac:dyDescent="0.2">
      <c r="D25" s="8">
        <v>-5</v>
      </c>
      <c r="E25" s="10">
        <v>1</v>
      </c>
      <c r="F25" s="7">
        <f t="shared" si="0"/>
        <v>1</v>
      </c>
      <c r="G25" s="10">
        <f t="shared" si="7"/>
        <v>0</v>
      </c>
      <c r="H25" s="187">
        <f t="shared" si="1"/>
        <v>0</v>
      </c>
      <c r="I25" s="187">
        <f t="shared" si="2"/>
        <v>0</v>
      </c>
      <c r="J25" s="114">
        <f t="shared" si="3"/>
        <v>2.1909999999999998</v>
      </c>
      <c r="K25" s="5">
        <v>34.559322033898304</v>
      </c>
      <c r="L25" s="9">
        <f t="shared" si="8"/>
        <v>7.5719474576271179E-2</v>
      </c>
      <c r="M25" s="200">
        <f t="shared" si="9"/>
        <v>7.5719474576271179E-2</v>
      </c>
      <c r="N25" s="138">
        <f t="shared" si="10"/>
        <v>7.5719474576271179E-2</v>
      </c>
      <c r="O25" s="200">
        <f t="shared" si="11"/>
        <v>7.5719474576271179E-2</v>
      </c>
      <c r="P25" s="200">
        <f t="shared" si="4"/>
        <v>7.5719474576271179E-2</v>
      </c>
      <c r="Q25" s="6">
        <f t="shared" si="5"/>
        <v>7.5719474576271179E-2</v>
      </c>
      <c r="R25" s="185">
        <f t="shared" si="12"/>
        <v>7.5719474576271179E-2</v>
      </c>
      <c r="S25" s="185">
        <f t="shared" si="13"/>
        <v>7.5719474576271179E-2</v>
      </c>
      <c r="T25" s="185">
        <f t="shared" si="14"/>
        <v>7.5719474576271179E-2</v>
      </c>
      <c r="U25" s="180">
        <f>IF(VLEESKUIKENOUDERDIEREN!$H$15="ja",L25-((E25-G25*95%-I25*95%)/E25*L25)*$R$6,L25-((E25-G25*80%-I25)/E25*L25)*$R$6)</f>
        <v>7.5719474576271179E-2</v>
      </c>
      <c r="V25" s="116">
        <f t="shared" si="15"/>
        <v>7.5719474576271179E-2</v>
      </c>
      <c r="W25" s="197">
        <f t="shared" si="16"/>
        <v>7.5719474576271179E-2</v>
      </c>
      <c r="X25" s="227"/>
      <c r="AB25" s="137"/>
      <c r="AC25" s="134"/>
      <c r="AD25" s="135"/>
      <c r="AE25" s="134"/>
      <c r="AF25" s="135"/>
    </row>
    <row r="26" spans="4:32" x14ac:dyDescent="0.2">
      <c r="D26" s="8">
        <v>-4</v>
      </c>
      <c r="E26" s="10">
        <v>1</v>
      </c>
      <c r="F26" s="7">
        <f t="shared" ref="F26:F65" si="17">E26-G26</f>
        <v>1</v>
      </c>
      <c r="G26" s="10">
        <f t="shared" si="7"/>
        <v>0</v>
      </c>
      <c r="H26" s="187">
        <f t="shared" si="1"/>
        <v>0</v>
      </c>
      <c r="I26" s="187">
        <f t="shared" si="2"/>
        <v>0</v>
      </c>
      <c r="J26" s="114">
        <f t="shared" si="3"/>
        <v>2.1909999999999998</v>
      </c>
      <c r="K26" s="5">
        <v>47.610169491525426</v>
      </c>
      <c r="L26" s="9">
        <f t="shared" si="8"/>
        <v>0.1043138813559322</v>
      </c>
      <c r="M26" s="200">
        <f t="shared" ref="M26:M65" si="18">IF(E26&gt;$R$5,L26-(R$5)/E26*L26*99%,L26-(E26)/E26*L26*99%)</f>
        <v>0.1043138813559322</v>
      </c>
      <c r="N26" s="138">
        <f t="shared" si="10"/>
        <v>0.1043138813559322</v>
      </c>
      <c r="O26" s="200">
        <f t="shared" si="11"/>
        <v>0.1043138813559322</v>
      </c>
      <c r="P26" s="200">
        <f t="shared" si="4"/>
        <v>0.1043138813559322</v>
      </c>
      <c r="Q26" s="6">
        <f t="shared" si="5"/>
        <v>0.1043138813559322</v>
      </c>
      <c r="R26" s="185">
        <f t="shared" ref="R26:R65" si="19">IF(E26-G26-H26&gt;=0,L26-((E26-G26*80%-H26*95%)/E26*L26)*$R$6,IF(G26&gt;H26,L26-((E26-G26)/E26*L26)*$R$6,L26-((E26-H26)/E26*L26)*$R$6))</f>
        <v>0.1043138813559322</v>
      </c>
      <c r="S26" s="185">
        <f t="shared" ref="S26:S65" si="20">IF(E26-G26-H26&gt;=0,L26-((E26-G26-H26)/E26*L26)*$R$6,IF(G26&gt;H26,L26-((E26-G26)/E26*L26)*$R$6,L26-((E26-H26)/E26*L26)*$R$6))</f>
        <v>0.1043138813559322</v>
      </c>
      <c r="T26" s="185">
        <f t="shared" ref="T26:T65" si="21">L26-(E26-H26)/E26*L26*$R$6</f>
        <v>0.1043138813559322</v>
      </c>
      <c r="U26" s="180">
        <f>IF(VLEESKUIKENOUDERDIEREN!$H$15="ja",L26-((E26-G26*95%-I26*95%)/E26*L26)*$R$6,L26-((E26-G26*80%-I26)/E26*L26)*$R$6)</f>
        <v>0.1043138813559322</v>
      </c>
      <c r="V26" s="116">
        <f t="shared" si="6"/>
        <v>0.1043138813559322</v>
      </c>
      <c r="W26" s="197">
        <f t="shared" ref="W26:W65" si="22">L26-(E26-H26)/E26*L26*$R$6</f>
        <v>0.1043138813559322</v>
      </c>
      <c r="X26" s="227">
        <f t="shared" ref="X26:X65" si="23">M26/L26</f>
        <v>1</v>
      </c>
      <c r="AB26" s="137" t="s">
        <v>162</v>
      </c>
      <c r="AC26" s="127">
        <v>19</v>
      </c>
      <c r="AD26" s="128">
        <v>33</v>
      </c>
      <c r="AE26" s="127">
        <v>19</v>
      </c>
      <c r="AF26" s="128">
        <v>33</v>
      </c>
    </row>
    <row r="27" spans="4:32" x14ac:dyDescent="0.2">
      <c r="D27" s="8">
        <v>-3</v>
      </c>
      <c r="E27" s="10">
        <v>1</v>
      </c>
      <c r="F27" s="7">
        <f t="shared" si="17"/>
        <v>1</v>
      </c>
      <c r="G27" s="10">
        <f t="shared" si="7"/>
        <v>0</v>
      </c>
      <c r="H27" s="187">
        <f t="shared" si="1"/>
        <v>0</v>
      </c>
      <c r="I27" s="187">
        <f t="shared" si="2"/>
        <v>0</v>
      </c>
      <c r="J27" s="114">
        <f t="shared" si="3"/>
        <v>2.1909999999999998</v>
      </c>
      <c r="K27" s="5">
        <v>69.881355932203391</v>
      </c>
      <c r="L27" s="9">
        <f t="shared" si="8"/>
        <v>0.15311005084745763</v>
      </c>
      <c r="M27" s="200">
        <f t="shared" si="18"/>
        <v>0.15311005084745763</v>
      </c>
      <c r="N27" s="138">
        <f t="shared" si="10"/>
        <v>0.15311005084745763</v>
      </c>
      <c r="O27" s="200">
        <f t="shared" si="11"/>
        <v>0.15311005084745763</v>
      </c>
      <c r="P27" s="200">
        <f t="shared" si="4"/>
        <v>0.15311005084745763</v>
      </c>
      <c r="Q27" s="6">
        <f t="shared" si="5"/>
        <v>0.15311005084745763</v>
      </c>
      <c r="R27" s="185">
        <f t="shared" si="19"/>
        <v>0.15311005084745763</v>
      </c>
      <c r="S27" s="185">
        <f t="shared" si="20"/>
        <v>0.15311005084745763</v>
      </c>
      <c r="T27" s="185">
        <f t="shared" si="21"/>
        <v>0.15311005084745763</v>
      </c>
      <c r="U27" s="180">
        <f>IF(VLEESKUIKENOUDERDIEREN!$H$15="ja",L27-((E27-G27*95%-I27*95%)/E27*L27)*$R$6,L27-((E27-G27*80%-I27)/E27*L27)*$R$6)</f>
        <v>0.15311005084745763</v>
      </c>
      <c r="V27" s="116">
        <f t="shared" si="6"/>
        <v>0.15311005084745763</v>
      </c>
      <c r="W27" s="197">
        <f t="shared" si="22"/>
        <v>0.15311005084745763</v>
      </c>
      <c r="X27" s="227">
        <f t="shared" si="23"/>
        <v>1</v>
      </c>
      <c r="AB27" s="137" t="s">
        <v>163</v>
      </c>
      <c r="AC27" s="140">
        <f t="shared" ref="AC27:AD27" si="24">365/AC26</f>
        <v>19.210526315789473</v>
      </c>
      <c r="AD27" s="141">
        <f t="shared" si="24"/>
        <v>11.060606060606061</v>
      </c>
      <c r="AE27" s="140">
        <f>365/AE26</f>
        <v>19.210526315789473</v>
      </c>
      <c r="AF27" s="141">
        <f t="shared" ref="AF27" si="25">365/AF26</f>
        <v>11.060606060606061</v>
      </c>
    </row>
    <row r="28" spans="4:32" x14ac:dyDescent="0.2">
      <c r="D28" s="8">
        <v>-2</v>
      </c>
      <c r="E28" s="10">
        <v>1</v>
      </c>
      <c r="F28" s="7">
        <f t="shared" si="17"/>
        <v>1</v>
      </c>
      <c r="G28" s="10">
        <f t="shared" si="7"/>
        <v>0</v>
      </c>
      <c r="H28" s="187">
        <f t="shared" si="1"/>
        <v>0</v>
      </c>
      <c r="I28" s="187">
        <f t="shared" si="2"/>
        <v>0</v>
      </c>
      <c r="J28" s="114">
        <f t="shared" si="3"/>
        <v>2.1909999999999998</v>
      </c>
      <c r="K28" s="5">
        <v>100.20338983050847</v>
      </c>
      <c r="L28" s="9">
        <f t="shared" si="8"/>
        <v>0.21954562711864403</v>
      </c>
      <c r="M28" s="200">
        <f t="shared" si="18"/>
        <v>0.21954562711864403</v>
      </c>
      <c r="N28" s="138">
        <f t="shared" si="10"/>
        <v>0.21954562711864403</v>
      </c>
      <c r="O28" s="200">
        <f t="shared" si="11"/>
        <v>0.21954562711864403</v>
      </c>
      <c r="P28" s="200">
        <f t="shared" si="4"/>
        <v>0.21954562711864403</v>
      </c>
      <c r="Q28" s="6">
        <f t="shared" si="5"/>
        <v>0.21954562711864403</v>
      </c>
      <c r="R28" s="185">
        <f t="shared" si="19"/>
        <v>0.21954562711864403</v>
      </c>
      <c r="S28" s="185">
        <f t="shared" si="20"/>
        <v>0.21954562711864403</v>
      </c>
      <c r="T28" s="185">
        <f t="shared" si="21"/>
        <v>0.21954562711864403</v>
      </c>
      <c r="U28" s="180">
        <f>IF(VLEESKUIKENOUDERDIEREN!$H$15="ja",L28-((E28-G28*95%-I28*95%)/E28*L28)*$R$6,L28-((E28-G28*80%-I28)/E28*L28)*$R$6)</f>
        <v>0.21954562711864403</v>
      </c>
      <c r="V28" s="116">
        <f t="shared" si="6"/>
        <v>0.21954562711864403</v>
      </c>
      <c r="W28" s="197">
        <f t="shared" si="22"/>
        <v>0.21954562711864403</v>
      </c>
      <c r="X28" s="227">
        <f t="shared" si="23"/>
        <v>1</v>
      </c>
      <c r="AB28" s="133" t="s">
        <v>164</v>
      </c>
      <c r="AC28" s="140">
        <f>AVERAGE(L10:L37)/$AA$38</f>
        <v>5.6795274475614548E-2</v>
      </c>
      <c r="AD28" s="141">
        <f>AVERAGE(L10:L43)/$AA$38</f>
        <v>0.12838319762714234</v>
      </c>
      <c r="AE28" s="140">
        <f>AVERAGE(N10:N37)/$AA$38</f>
        <v>5.6795274475614548E-2</v>
      </c>
      <c r="AF28" s="141">
        <f>AVERAGE(N10:N43)/$AA$38</f>
        <v>0.12838319762714234</v>
      </c>
    </row>
    <row r="29" spans="4:32" x14ac:dyDescent="0.2">
      <c r="D29" s="8">
        <v>-1</v>
      </c>
      <c r="E29" s="10">
        <v>1</v>
      </c>
      <c r="F29" s="7">
        <f t="shared" si="17"/>
        <v>1</v>
      </c>
      <c r="G29" s="10">
        <f t="shared" si="7"/>
        <v>0</v>
      </c>
      <c r="H29" s="187">
        <f t="shared" si="1"/>
        <v>0</v>
      </c>
      <c r="I29" s="187">
        <f t="shared" si="2"/>
        <v>0</v>
      </c>
      <c r="J29" s="114">
        <f t="shared" si="3"/>
        <v>2.1909999999999998</v>
      </c>
      <c r="K29" s="5">
        <v>137</v>
      </c>
      <c r="L29" s="9">
        <f t="shared" si="8"/>
        <v>0.30016699999999996</v>
      </c>
      <c r="M29" s="200">
        <f t="shared" si="18"/>
        <v>0.30016699999999996</v>
      </c>
      <c r="N29" s="138">
        <f t="shared" si="10"/>
        <v>0.30016699999999996</v>
      </c>
      <c r="O29" s="200">
        <f t="shared" si="11"/>
        <v>0.30016699999999996</v>
      </c>
      <c r="P29" s="200">
        <f t="shared" si="4"/>
        <v>0.30016699999999996</v>
      </c>
      <c r="Q29" s="6">
        <f t="shared" si="5"/>
        <v>0.30016699999999996</v>
      </c>
      <c r="R29" s="185">
        <f t="shared" si="19"/>
        <v>0.30016699999999996</v>
      </c>
      <c r="S29" s="185">
        <f t="shared" si="20"/>
        <v>0.30016699999999996</v>
      </c>
      <c r="T29" s="185">
        <f t="shared" si="21"/>
        <v>0.30016699999999996</v>
      </c>
      <c r="U29" s="180">
        <f>IF(VLEESKUIKENOUDERDIEREN!$H$15="ja",L29-((E29-G29*95%-I29*95%)/E29*L29)*$R$6,L29-((E29-G29*80%-I29)/E29*L29)*$R$6)</f>
        <v>0.30016699999999996</v>
      </c>
      <c r="V29" s="116">
        <f t="shared" si="6"/>
        <v>0.30016699999999996</v>
      </c>
      <c r="W29" s="197">
        <f t="shared" si="22"/>
        <v>0.30016699999999996</v>
      </c>
      <c r="X29" s="227">
        <f t="shared" si="23"/>
        <v>1</v>
      </c>
      <c r="AB29" s="142" t="s">
        <v>165</v>
      </c>
      <c r="AC29" s="143">
        <f>AC28*AC27</f>
        <v>1.0910671149262794</v>
      </c>
      <c r="AD29" s="144">
        <f>AD28*AD27</f>
        <v>1.4199959737547563</v>
      </c>
      <c r="AE29" s="143">
        <f>AE28*AE27</f>
        <v>1.0910671149262794</v>
      </c>
      <c r="AF29" s="144">
        <f>AF28*AF27</f>
        <v>1.4199959737547563</v>
      </c>
    </row>
    <row r="30" spans="4:32" x14ac:dyDescent="0.2">
      <c r="D30" s="8">
        <v>0</v>
      </c>
      <c r="E30" s="114">
        <f t="shared" ref="E30:E54" si="26">1.0977*EXP(0.1086*D30)</f>
        <v>1.0976999999999999</v>
      </c>
      <c r="F30" s="7">
        <f t="shared" si="17"/>
        <v>1.0976999999999999</v>
      </c>
      <c r="G30" s="10">
        <f t="shared" si="7"/>
        <v>0</v>
      </c>
      <c r="H30" s="187">
        <f t="shared" si="1"/>
        <v>0</v>
      </c>
      <c r="I30" s="187">
        <f t="shared" si="2"/>
        <v>0</v>
      </c>
      <c r="J30" s="114">
        <f>-0.052*F30+2.243</f>
        <v>2.1859196000000001</v>
      </c>
      <c r="K30" s="5">
        <v>198.37288135593221</v>
      </c>
      <c r="L30" s="9">
        <f t="shared" si="8"/>
        <v>0.47599254392107926</v>
      </c>
      <c r="M30" s="200">
        <f t="shared" si="18"/>
        <v>0.47599254392107926</v>
      </c>
      <c r="N30" s="138">
        <f t="shared" si="10"/>
        <v>0.47599254392107931</v>
      </c>
      <c r="O30" s="200">
        <f t="shared" si="11"/>
        <v>0.47599254392107931</v>
      </c>
      <c r="P30" s="200">
        <f t="shared" si="4"/>
        <v>0.47599254392107926</v>
      </c>
      <c r="Q30" s="6">
        <f t="shared" si="5"/>
        <v>0.47599254392107931</v>
      </c>
      <c r="R30" s="185">
        <f t="shared" si="19"/>
        <v>0.47599254392107926</v>
      </c>
      <c r="S30" s="185">
        <f t="shared" si="20"/>
        <v>0.47599254392107926</v>
      </c>
      <c r="T30" s="185">
        <f t="shared" si="21"/>
        <v>0.47599254392107926</v>
      </c>
      <c r="U30" s="180">
        <f>IF(VLEESKUIKENOUDERDIEREN!$H$15="ja",L30-((E30-G30*95%-I30*95%)/E30*L30)*$R$6,L30-((E30-G30*80%-I30)/E30*L30)*$R$6)</f>
        <v>0.47599254392107926</v>
      </c>
      <c r="V30" s="116">
        <f t="shared" si="6"/>
        <v>0.47599254392107926</v>
      </c>
      <c r="W30" s="197">
        <f t="shared" si="22"/>
        <v>0.47599254392107926</v>
      </c>
      <c r="X30" s="227">
        <f t="shared" si="23"/>
        <v>1</v>
      </c>
      <c r="AB30" s="129" t="s">
        <v>166</v>
      </c>
      <c r="AC30" s="145"/>
      <c r="AD30" s="146"/>
      <c r="AE30" s="145"/>
      <c r="AF30" s="146"/>
    </row>
    <row r="31" spans="4:32" x14ac:dyDescent="0.2">
      <c r="D31" s="8">
        <v>1</v>
      </c>
      <c r="E31" s="114">
        <f t="shared" si="26"/>
        <v>1.2236241644010601</v>
      </c>
      <c r="F31" s="7">
        <f t="shared" si="17"/>
        <v>1.2236241644010601</v>
      </c>
      <c r="G31" s="10">
        <f t="shared" si="7"/>
        <v>0</v>
      </c>
      <c r="H31" s="187">
        <f t="shared" si="1"/>
        <v>0</v>
      </c>
      <c r="I31" s="187">
        <f t="shared" si="2"/>
        <v>0</v>
      </c>
      <c r="J31" s="114">
        <f t="shared" ref="J31:J65" si="27">-0.052*F31+2.243</f>
        <v>2.1793715434511447</v>
      </c>
      <c r="K31" s="5">
        <v>250.03389830508473</v>
      </c>
      <c r="L31" s="9">
        <f t="shared" si="8"/>
        <v>0.66677331862790967</v>
      </c>
      <c r="M31" s="200">
        <f t="shared" si="18"/>
        <v>0.66677331862790967</v>
      </c>
      <c r="N31" s="138">
        <f t="shared" si="10"/>
        <v>0.66677331862790967</v>
      </c>
      <c r="O31" s="200">
        <f t="shared" si="11"/>
        <v>0.66677331862790967</v>
      </c>
      <c r="P31" s="200">
        <f t="shared" si="4"/>
        <v>0.66677331862790967</v>
      </c>
      <c r="Q31" s="6">
        <f t="shared" si="5"/>
        <v>0.66677331862790967</v>
      </c>
      <c r="R31" s="185">
        <f t="shared" si="19"/>
        <v>0.66677331862790967</v>
      </c>
      <c r="S31" s="185">
        <f t="shared" si="20"/>
        <v>0.66677331862790967</v>
      </c>
      <c r="T31" s="185">
        <f t="shared" si="21"/>
        <v>0.66677331862790967</v>
      </c>
      <c r="U31" s="180">
        <f>IF(VLEESKUIKENOUDERDIEREN!$H$15="ja",L31-((E31-G31*95%-I31*95%)/E31*L31)*$R$6,L31-((E31-G31*80%-I31)/E31*L31)*$R$6)</f>
        <v>0.66677331862790967</v>
      </c>
      <c r="V31" s="116">
        <f t="shared" si="6"/>
        <v>0.66677331862790967</v>
      </c>
      <c r="W31" s="197">
        <f t="shared" si="22"/>
        <v>0.66677331862790967</v>
      </c>
      <c r="X31" s="227">
        <f t="shared" si="23"/>
        <v>1</v>
      </c>
      <c r="AB31" s="137" t="s">
        <v>167</v>
      </c>
      <c r="AC31" s="127"/>
      <c r="AD31" s="128"/>
      <c r="AE31" s="127"/>
      <c r="AF31" s="128"/>
    </row>
    <row r="32" spans="4:32" x14ac:dyDescent="0.2">
      <c r="D32" s="8">
        <v>2</v>
      </c>
      <c r="E32" s="114">
        <f t="shared" si="26"/>
        <v>1.3639938924170476</v>
      </c>
      <c r="F32" s="7">
        <f t="shared" si="17"/>
        <v>1.3639938924170476</v>
      </c>
      <c r="G32" s="10">
        <f t="shared" si="7"/>
        <v>0</v>
      </c>
      <c r="H32" s="187">
        <f t="shared" si="1"/>
        <v>0</v>
      </c>
      <c r="I32" s="187">
        <f t="shared" si="2"/>
        <v>0</v>
      </c>
      <c r="J32" s="114">
        <f t="shared" si="27"/>
        <v>2.1720723175943135</v>
      </c>
      <c r="K32" s="5">
        <v>276.5593220338983</v>
      </c>
      <c r="L32" s="9">
        <f t="shared" si="8"/>
        <v>0.81936047120832323</v>
      </c>
      <c r="M32" s="200">
        <f t="shared" si="18"/>
        <v>0.81936047120832323</v>
      </c>
      <c r="N32" s="138">
        <f t="shared" si="10"/>
        <v>0.81936047120832323</v>
      </c>
      <c r="O32" s="200">
        <f t="shared" si="11"/>
        <v>0.81936047120832323</v>
      </c>
      <c r="P32" s="200">
        <f t="shared" si="4"/>
        <v>0.81936047120832323</v>
      </c>
      <c r="Q32" s="6">
        <f t="shared" si="5"/>
        <v>0.81936047120832323</v>
      </c>
      <c r="R32" s="185">
        <f t="shared" si="19"/>
        <v>0.81936047120832323</v>
      </c>
      <c r="S32" s="185">
        <f t="shared" si="20"/>
        <v>0.81936047120832323</v>
      </c>
      <c r="T32" s="185">
        <f t="shared" si="21"/>
        <v>0.81936047120832323</v>
      </c>
      <c r="U32" s="180">
        <f>IF(VLEESKUIKENOUDERDIEREN!$H$15="ja",L32-((E32-G32*95%-I32*95%)/E32*L32)*$R$6,L32-((E32-G32*80%-I32)/E32*L32)*$R$6)</f>
        <v>0.81936047120832323</v>
      </c>
      <c r="V32" s="116">
        <f t="shared" si="6"/>
        <v>0.81936047120832323</v>
      </c>
      <c r="W32" s="197">
        <f t="shared" si="22"/>
        <v>0.81936047120832323</v>
      </c>
      <c r="X32" s="227">
        <f t="shared" si="23"/>
        <v>1</v>
      </c>
      <c r="AB32" s="137" t="s">
        <v>168</v>
      </c>
      <c r="AC32" s="127">
        <v>42</v>
      </c>
      <c r="AD32" s="128">
        <v>42</v>
      </c>
      <c r="AE32" s="127">
        <v>42</v>
      </c>
      <c r="AF32" s="128">
        <v>42</v>
      </c>
    </row>
    <row r="33" spans="1:32" x14ac:dyDescent="0.2">
      <c r="D33" s="8">
        <v>3</v>
      </c>
      <c r="E33" s="114">
        <f t="shared" si="26"/>
        <v>1.5204663267349545</v>
      </c>
      <c r="F33" s="7">
        <f t="shared" si="17"/>
        <v>1.5204663267349545</v>
      </c>
      <c r="G33" s="10">
        <f t="shared" si="7"/>
        <v>0</v>
      </c>
      <c r="H33" s="187">
        <f t="shared" si="1"/>
        <v>0</v>
      </c>
      <c r="I33" s="187">
        <f t="shared" si="2"/>
        <v>0</v>
      </c>
      <c r="J33" s="114">
        <f t="shared" si="27"/>
        <v>2.1639357510097823</v>
      </c>
      <c r="K33" s="5">
        <v>300.50847457627117</v>
      </c>
      <c r="L33" s="9">
        <f t="shared" si="8"/>
        <v>0.98873041148812801</v>
      </c>
      <c r="M33" s="200">
        <f t="shared" si="18"/>
        <v>0.98873041148812801</v>
      </c>
      <c r="N33" s="138">
        <f t="shared" si="10"/>
        <v>0.98873041148812801</v>
      </c>
      <c r="O33" s="200">
        <f t="shared" si="11"/>
        <v>0.98873041148812801</v>
      </c>
      <c r="P33" s="200">
        <f t="shared" si="4"/>
        <v>0.98873041148812801</v>
      </c>
      <c r="Q33" s="6">
        <f t="shared" si="5"/>
        <v>0.98873041148812801</v>
      </c>
      <c r="R33" s="185">
        <f t="shared" si="19"/>
        <v>0.98873041148812801</v>
      </c>
      <c r="S33" s="185">
        <f t="shared" si="20"/>
        <v>0.98873041148812801</v>
      </c>
      <c r="T33" s="185">
        <f t="shared" si="21"/>
        <v>0.98873041148812801</v>
      </c>
      <c r="U33" s="180">
        <f>IF(VLEESKUIKENOUDERDIEREN!$H$15="ja",L33-((E33-G33*95%-I33*95%)/E33*L33)*$R$6,L33-((E33-G33*80%-I33)/E33*L33)*$R$6)</f>
        <v>0.98873041148812801</v>
      </c>
      <c r="V33" s="116">
        <f t="shared" si="6"/>
        <v>0.98873041148812801</v>
      </c>
      <c r="W33" s="197">
        <f t="shared" si="22"/>
        <v>0.98873041148812801</v>
      </c>
      <c r="X33" s="227">
        <f t="shared" si="23"/>
        <v>1</v>
      </c>
      <c r="AB33" s="137" t="s">
        <v>169</v>
      </c>
      <c r="AC33" s="127">
        <f>+AC8</f>
        <v>13</v>
      </c>
      <c r="AD33" s="128">
        <f>+AD8</f>
        <v>19</v>
      </c>
      <c r="AE33" s="127">
        <f>+AE8</f>
        <v>13</v>
      </c>
      <c r="AF33" s="128">
        <f>+AF8</f>
        <v>19</v>
      </c>
    </row>
    <row r="34" spans="1:32" x14ac:dyDescent="0.2">
      <c r="D34" s="8">
        <v>4</v>
      </c>
      <c r="E34" s="114">
        <f t="shared" si="26"/>
        <v>1.6948887114430249</v>
      </c>
      <c r="F34" s="7">
        <f t="shared" si="17"/>
        <v>1.6948887114430249</v>
      </c>
      <c r="G34" s="10">
        <f t="shared" si="7"/>
        <v>0</v>
      </c>
      <c r="H34" s="187">
        <f t="shared" si="1"/>
        <v>0</v>
      </c>
      <c r="I34" s="187">
        <f t="shared" si="2"/>
        <v>0</v>
      </c>
      <c r="J34" s="114">
        <f t="shared" si="27"/>
        <v>2.1548657870049626</v>
      </c>
      <c r="K34" s="5">
        <v>347.42372881355931</v>
      </c>
      <c r="L34" s="9">
        <f t="shared" si="8"/>
        <v>1.2688809877039091</v>
      </c>
      <c r="M34" s="200">
        <f t="shared" si="18"/>
        <v>1.2688809877039091</v>
      </c>
      <c r="N34" s="138">
        <f t="shared" si="10"/>
        <v>1.2688809877039089</v>
      </c>
      <c r="O34" s="200">
        <f t="shared" si="11"/>
        <v>1.2688809877039089</v>
      </c>
      <c r="P34" s="200">
        <f t="shared" si="4"/>
        <v>1.2688809877039091</v>
      </c>
      <c r="Q34" s="6">
        <f t="shared" si="5"/>
        <v>1.2688809877039089</v>
      </c>
      <c r="R34" s="185">
        <f t="shared" si="19"/>
        <v>1.2688809877039091</v>
      </c>
      <c r="S34" s="185">
        <f t="shared" si="20"/>
        <v>1.2688809877039091</v>
      </c>
      <c r="T34" s="185">
        <f t="shared" si="21"/>
        <v>1.2688809877039091</v>
      </c>
      <c r="U34" s="180">
        <f>IF(VLEESKUIKENOUDERDIEREN!$H$15="ja",L34-((E34-G34*95%-I34*95%)/E34*L34)*$R$6,L34-((E34-G34*80%-I34)/E34*L34)*$R$6)</f>
        <v>1.2688809877039091</v>
      </c>
      <c r="V34" s="116">
        <f t="shared" si="6"/>
        <v>1.2688809877039091</v>
      </c>
      <c r="W34" s="197">
        <f t="shared" si="22"/>
        <v>1.2688809877039091</v>
      </c>
      <c r="X34" s="227">
        <f t="shared" si="23"/>
        <v>1</v>
      </c>
      <c r="AA34" s="1">
        <v>42</v>
      </c>
      <c r="AB34" s="137" t="s">
        <v>170</v>
      </c>
      <c r="AC34" s="147">
        <f t="shared" ref="AC34:AD34" si="28">AC32-AC33</f>
        <v>29</v>
      </c>
      <c r="AD34" s="148">
        <f t="shared" si="28"/>
        <v>23</v>
      </c>
      <c r="AE34" s="147">
        <f>AE32-AE33</f>
        <v>29</v>
      </c>
      <c r="AF34" s="148">
        <f t="shared" ref="AF34" si="29">AF32-AF33</f>
        <v>23</v>
      </c>
    </row>
    <row r="35" spans="1:32" x14ac:dyDescent="0.2">
      <c r="D35" s="8">
        <v>5</v>
      </c>
      <c r="E35" s="114">
        <f t="shared" si="26"/>
        <v>1.8893201997743112</v>
      </c>
      <c r="F35" s="7">
        <f t="shared" si="17"/>
        <v>1.8893201997743112</v>
      </c>
      <c r="G35" s="10">
        <f t="shared" si="7"/>
        <v>0</v>
      </c>
      <c r="H35" s="187">
        <f t="shared" si="1"/>
        <v>0</v>
      </c>
      <c r="I35" s="187">
        <f t="shared" si="2"/>
        <v>0</v>
      </c>
      <c r="J35" s="114">
        <f t="shared" si="27"/>
        <v>2.1447553496117355</v>
      </c>
      <c r="K35" s="5">
        <v>394.72881355932202</v>
      </c>
      <c r="L35" s="9">
        <f t="shared" si="8"/>
        <v>1.5994923116053019</v>
      </c>
      <c r="M35" s="200">
        <f t="shared" si="18"/>
        <v>1.5994923116053019</v>
      </c>
      <c r="N35" s="138">
        <f t="shared" si="10"/>
        <v>1.5994923116053021</v>
      </c>
      <c r="O35" s="200">
        <f t="shared" si="11"/>
        <v>1.5994923116053021</v>
      </c>
      <c r="P35" s="200">
        <f t="shared" si="4"/>
        <v>1.5994923116053019</v>
      </c>
      <c r="Q35" s="6">
        <f t="shared" si="5"/>
        <v>1.5994923116053021</v>
      </c>
      <c r="R35" s="185">
        <f t="shared" si="19"/>
        <v>1.5994923116053019</v>
      </c>
      <c r="S35" s="185">
        <f t="shared" si="20"/>
        <v>1.5994923116053019</v>
      </c>
      <c r="T35" s="185">
        <f t="shared" si="21"/>
        <v>1.5994923116053019</v>
      </c>
      <c r="U35" s="180">
        <f>IF(VLEESKUIKENOUDERDIEREN!$H$15="ja",L35-((E35-G35*95%-I35*95%)/E35*L35)*$R$6,L35-((E35-G35*80%-I35)/E35*L35)*$R$6)</f>
        <v>1.5994923116053019</v>
      </c>
      <c r="V35" s="116">
        <f t="shared" si="6"/>
        <v>1.5994923116053019</v>
      </c>
      <c r="W35" s="197">
        <f t="shared" si="22"/>
        <v>1.5994923116053019</v>
      </c>
      <c r="X35" s="227">
        <f t="shared" si="23"/>
        <v>1</v>
      </c>
      <c r="AA35" s="1">
        <v>0</v>
      </c>
      <c r="AB35" s="137" t="s">
        <v>171</v>
      </c>
      <c r="AC35" s="149">
        <v>10</v>
      </c>
      <c r="AD35" s="150">
        <v>10</v>
      </c>
      <c r="AE35" s="149">
        <v>10</v>
      </c>
      <c r="AF35" s="150">
        <v>10</v>
      </c>
    </row>
    <row r="36" spans="1:32" x14ac:dyDescent="0.2">
      <c r="D36" s="8">
        <v>6</v>
      </c>
      <c r="E36" s="114">
        <f t="shared" si="26"/>
        <v>2.1060561635555124</v>
      </c>
      <c r="F36" s="7">
        <f t="shared" si="17"/>
        <v>2.1060561635555124</v>
      </c>
      <c r="G36" s="10">
        <f t="shared" si="7"/>
        <v>0</v>
      </c>
      <c r="H36" s="187">
        <f t="shared" si="1"/>
        <v>0</v>
      </c>
      <c r="I36" s="187">
        <f t="shared" si="2"/>
        <v>0</v>
      </c>
      <c r="J36" s="114">
        <f t="shared" si="27"/>
        <v>2.1334850794951135</v>
      </c>
      <c r="K36" s="5">
        <v>441.05084745762713</v>
      </c>
      <c r="L36" s="9">
        <f t="shared" si="8"/>
        <v>1.9817470458723405</v>
      </c>
      <c r="M36" s="200">
        <f t="shared" si="18"/>
        <v>1.9817470458723405</v>
      </c>
      <c r="N36" s="138">
        <f t="shared" si="10"/>
        <v>1.9817470458723403</v>
      </c>
      <c r="O36" s="200">
        <f t="shared" si="11"/>
        <v>1.9817470458723403</v>
      </c>
      <c r="P36" s="200">
        <f t="shared" si="4"/>
        <v>1.9817470458723405</v>
      </c>
      <c r="Q36" s="6">
        <f t="shared" si="5"/>
        <v>1.9817470458723403</v>
      </c>
      <c r="R36" s="185">
        <f t="shared" si="19"/>
        <v>1.9817470458723405</v>
      </c>
      <c r="S36" s="185">
        <f t="shared" si="20"/>
        <v>1.9817470458723405</v>
      </c>
      <c r="T36" s="185">
        <f t="shared" si="21"/>
        <v>1.9817470458723405</v>
      </c>
      <c r="U36" s="180">
        <f>IF(VLEESKUIKENOUDERDIEREN!$H$15="ja",L36-((E36-G36*95%-I36*95%)/E36*L36)*$R$6,L36-((E36-G36*80%-I36)/E36*L36)*$R$6)</f>
        <v>1.9817470458723405</v>
      </c>
      <c r="V36" s="116">
        <f t="shared" si="6"/>
        <v>1.9817470458723405</v>
      </c>
      <c r="W36" s="197">
        <f t="shared" si="22"/>
        <v>1.9817470458723405</v>
      </c>
      <c r="X36" s="227">
        <f t="shared" si="23"/>
        <v>1</v>
      </c>
      <c r="AA36" s="1">
        <v>42</v>
      </c>
      <c r="AB36" s="137" t="s">
        <v>172</v>
      </c>
      <c r="AC36" s="151">
        <f>365/(AC34+AC35)</f>
        <v>9.3589743589743595</v>
      </c>
      <c r="AD36" s="152">
        <f>365/(AD34+AD35)</f>
        <v>11.060606060606061</v>
      </c>
      <c r="AE36" s="151">
        <f>365/(AE34+AE35)</f>
        <v>9.3589743589743595</v>
      </c>
      <c r="AF36" s="152">
        <f>365/(AF34+AF35)</f>
        <v>11.060606060606061</v>
      </c>
    </row>
    <row r="37" spans="1:32" x14ac:dyDescent="0.2">
      <c r="A37" s="153"/>
      <c r="B37" s="154"/>
      <c r="C37" s="155"/>
      <c r="D37" s="8">
        <v>7</v>
      </c>
      <c r="E37" s="114">
        <f t="shared" si="26"/>
        <v>2.3476552913476514</v>
      </c>
      <c r="F37" s="156">
        <f t="shared" si="17"/>
        <v>2.3476552913476514</v>
      </c>
      <c r="G37" s="10">
        <f t="shared" si="7"/>
        <v>0</v>
      </c>
      <c r="H37" s="187">
        <f t="shared" si="1"/>
        <v>0</v>
      </c>
      <c r="I37" s="187">
        <f t="shared" si="2"/>
        <v>0</v>
      </c>
      <c r="J37" s="114">
        <f t="shared" si="27"/>
        <v>2.120921924849922</v>
      </c>
      <c r="K37" s="5">
        <v>464.38983050847457</v>
      </c>
      <c r="L37" s="9">
        <f t="shared" si="8"/>
        <v>2.3122868624107071</v>
      </c>
      <c r="M37" s="200">
        <f t="shared" si="18"/>
        <v>2.3122868624107071</v>
      </c>
      <c r="N37" s="138">
        <f t="shared" si="10"/>
        <v>2.3122868624107071</v>
      </c>
      <c r="O37" s="200">
        <f t="shared" si="11"/>
        <v>2.3122868624107071</v>
      </c>
      <c r="P37" s="200">
        <f t="shared" si="4"/>
        <v>2.3122868624107071</v>
      </c>
      <c r="Q37" s="6">
        <f t="shared" si="5"/>
        <v>2.3122868624107071</v>
      </c>
      <c r="R37" s="185">
        <f t="shared" si="19"/>
        <v>2.3122868624107071</v>
      </c>
      <c r="S37" s="185">
        <f t="shared" si="20"/>
        <v>2.3122868624107071</v>
      </c>
      <c r="T37" s="185">
        <f t="shared" si="21"/>
        <v>2.3122868624107071</v>
      </c>
      <c r="U37" s="180">
        <f>IF(VLEESKUIKENOUDERDIEREN!$H$15="ja",L37-((E37-G37*95%-I37*95%)/E37*L37)*$R$6,L37-((E37-G37*80%-I37)/E37*L37)*$R$6)</f>
        <v>2.3122868624107071</v>
      </c>
      <c r="V37" s="116">
        <f t="shared" si="6"/>
        <v>2.3122868624107071</v>
      </c>
      <c r="W37" s="197">
        <f t="shared" si="22"/>
        <v>2.3122868624107071</v>
      </c>
      <c r="X37" s="227">
        <f t="shared" si="23"/>
        <v>1</v>
      </c>
      <c r="AA37" s="1">
        <v>10</v>
      </c>
      <c r="AB37" s="133" t="s">
        <v>173</v>
      </c>
      <c r="AC37" s="140">
        <f>AVERAGE(L38:L66)/$AA$38</f>
        <v>0.30482872636610736</v>
      </c>
      <c r="AD37" s="141">
        <f>AVERAGE(L44:L66)/$AA$38</f>
        <v>0.26183833201115336</v>
      </c>
      <c r="AE37" s="140">
        <f>AVERAGE(N38:N66)/$AA$38</f>
        <v>0.30482872636610736</v>
      </c>
      <c r="AF37" s="141">
        <f>AVERAGE(N44:N66)/$AA$38</f>
        <v>0.26183833201115336</v>
      </c>
    </row>
    <row r="38" spans="1:32" x14ac:dyDescent="0.2">
      <c r="D38" s="8">
        <v>8</v>
      </c>
      <c r="E38" s="114">
        <f t="shared" si="26"/>
        <v>2.6169697951872077</v>
      </c>
      <c r="F38" s="7">
        <f t="shared" si="17"/>
        <v>2.6169697951872077</v>
      </c>
      <c r="G38" s="10">
        <f t="shared" si="7"/>
        <v>0</v>
      </c>
      <c r="H38" s="187">
        <f t="shared" si="1"/>
        <v>0</v>
      </c>
      <c r="I38" s="187">
        <f t="shared" si="2"/>
        <v>0</v>
      </c>
      <c r="J38" s="114">
        <f t="shared" si="27"/>
        <v>2.106917570650265</v>
      </c>
      <c r="K38" s="5">
        <v>464.30508474576271</v>
      </c>
      <c r="L38" s="9">
        <f t="shared" si="8"/>
        <v>2.560057352367493</v>
      </c>
      <c r="M38" s="200">
        <f t="shared" si="18"/>
        <v>2.560057352367493</v>
      </c>
      <c r="N38" s="138">
        <f t="shared" si="10"/>
        <v>2.560057352367493</v>
      </c>
      <c r="O38" s="200">
        <f t="shared" si="11"/>
        <v>2.560057352367493</v>
      </c>
      <c r="P38" s="200">
        <f t="shared" si="4"/>
        <v>2.560057352367493</v>
      </c>
      <c r="Q38" s="6">
        <f t="shared" si="5"/>
        <v>2.560057352367493</v>
      </c>
      <c r="R38" s="185">
        <f t="shared" si="19"/>
        <v>2.560057352367493</v>
      </c>
      <c r="S38" s="185">
        <f t="shared" si="20"/>
        <v>2.560057352367493</v>
      </c>
      <c r="T38" s="185">
        <f t="shared" si="21"/>
        <v>2.560057352367493</v>
      </c>
      <c r="U38" s="180">
        <f>IF(VLEESKUIKENOUDERDIEREN!$H$15="ja",L38-((E38-G38*95%-I38*95%)/E38*L38)*$R$6,L38-((E38-G38*80%-I38)/E38*L38)*$R$6)</f>
        <v>2.560057352367493</v>
      </c>
      <c r="V38" s="116">
        <f t="shared" si="6"/>
        <v>2.560057352367493</v>
      </c>
      <c r="W38" s="197">
        <f t="shared" si="22"/>
        <v>2.560057352367493</v>
      </c>
      <c r="X38" s="227">
        <f t="shared" si="23"/>
        <v>1</v>
      </c>
      <c r="AA38" s="5">
        <f>365/(AA36+AA37)</f>
        <v>7.0192307692307692</v>
      </c>
      <c r="AB38" s="142" t="s">
        <v>165</v>
      </c>
      <c r="AC38" s="143">
        <f>AC37*AC36</f>
        <v>2.8528842339392102</v>
      </c>
      <c r="AD38" s="144">
        <f>AD37*AD36</f>
        <v>2.8960906419415449</v>
      </c>
      <c r="AE38" s="143">
        <f>AE37*AE36</f>
        <v>2.8528842339392102</v>
      </c>
      <c r="AF38" s="144">
        <f>AF37*AF36</f>
        <v>2.8960906419415449</v>
      </c>
    </row>
    <row r="39" spans="1:32" x14ac:dyDescent="0.2">
      <c r="D39" s="8">
        <v>9</v>
      </c>
      <c r="E39" s="114">
        <f t="shared" si="26"/>
        <v>2.9171790825350836</v>
      </c>
      <c r="F39" s="7">
        <f t="shared" si="17"/>
        <v>2.9171790825350836</v>
      </c>
      <c r="G39" s="10">
        <f t="shared" si="7"/>
        <v>0</v>
      </c>
      <c r="H39" s="187">
        <f t="shared" si="1"/>
        <v>0</v>
      </c>
      <c r="I39" s="187">
        <f t="shared" si="2"/>
        <v>0</v>
      </c>
      <c r="J39" s="114">
        <f t="shared" si="27"/>
        <v>2.0913066877081756</v>
      </c>
      <c r="K39" s="5">
        <v>458.89830508474574</v>
      </c>
      <c r="L39" s="9">
        <f t="shared" si="8"/>
        <v>2.7996082893582654</v>
      </c>
      <c r="M39" s="200">
        <f t="shared" si="18"/>
        <v>2.7996082893582654</v>
      </c>
      <c r="N39" s="138">
        <f t="shared" si="10"/>
        <v>2.7996082893582654</v>
      </c>
      <c r="O39" s="200">
        <f t="shared" si="11"/>
        <v>2.7996082893582654</v>
      </c>
      <c r="P39" s="200">
        <f t="shared" si="4"/>
        <v>2.7996082893582654</v>
      </c>
      <c r="Q39" s="6">
        <f t="shared" si="5"/>
        <v>2.7996082893582654</v>
      </c>
      <c r="R39" s="185">
        <f t="shared" si="19"/>
        <v>2.7996082893582654</v>
      </c>
      <c r="S39" s="185">
        <f t="shared" si="20"/>
        <v>2.7996082893582654</v>
      </c>
      <c r="T39" s="185">
        <f t="shared" si="21"/>
        <v>2.7996082893582654</v>
      </c>
      <c r="U39" s="180">
        <f>IF(VLEESKUIKENOUDERDIEREN!$H$15="ja",L39-((E39-G39*95%-I39*95%)/E39*L39)*$R$6,L39-((E39-G39*80%-I39)/E39*L39)*$R$6)</f>
        <v>2.7996082893582654</v>
      </c>
      <c r="V39" s="116">
        <f t="shared" si="6"/>
        <v>2.7996082893582654</v>
      </c>
      <c r="W39" s="197">
        <f t="shared" si="22"/>
        <v>2.7996082893582654</v>
      </c>
      <c r="X39" s="227">
        <f t="shared" si="23"/>
        <v>1</v>
      </c>
      <c r="AA39" s="139">
        <f>AA37/(AA36+AA37)</f>
        <v>0.19230769230769232</v>
      </c>
      <c r="AB39" s="157" t="s">
        <v>174</v>
      </c>
      <c r="AC39" s="158">
        <f>(AC29+(AC38*2))/3</f>
        <v>2.2656118609349001</v>
      </c>
      <c r="AD39" s="159">
        <f>(AD29+AD38)/2</f>
        <v>2.1580433078481507</v>
      </c>
      <c r="AE39" s="158">
        <f>(AE29+(AE38*2))/3</f>
        <v>2.2656118609349001</v>
      </c>
      <c r="AF39" s="159">
        <f>(AF29+AF38)/2</f>
        <v>2.1580433078481507</v>
      </c>
    </row>
    <row r="40" spans="1:32" x14ac:dyDescent="0.2">
      <c r="D40" s="8">
        <v>10</v>
      </c>
      <c r="E40" s="114">
        <f t="shared" si="26"/>
        <v>3.2518272909494796</v>
      </c>
      <c r="F40" s="7">
        <f t="shared" si="17"/>
        <v>3.2518272909494796</v>
      </c>
      <c r="G40" s="10">
        <f t="shared" si="7"/>
        <v>0</v>
      </c>
      <c r="H40" s="187">
        <f t="shared" si="1"/>
        <v>0</v>
      </c>
      <c r="I40" s="187">
        <f t="shared" si="2"/>
        <v>0</v>
      </c>
      <c r="J40" s="114">
        <f t="shared" si="27"/>
        <v>2.0739049808706271</v>
      </c>
      <c r="K40" s="5">
        <v>457.03389830508473</v>
      </c>
      <c r="L40" s="9">
        <f t="shared" si="8"/>
        <v>3.0822278422626157</v>
      </c>
      <c r="M40" s="200">
        <f t="shared" si="18"/>
        <v>3.0822278422626157</v>
      </c>
      <c r="N40" s="138">
        <f t="shared" si="10"/>
        <v>3.0822278422626157</v>
      </c>
      <c r="O40" s="200">
        <f t="shared" si="11"/>
        <v>3.0822278422626157</v>
      </c>
      <c r="P40" s="200">
        <f t="shared" si="4"/>
        <v>3.0822278422626157</v>
      </c>
      <c r="Q40" s="6">
        <f t="shared" si="5"/>
        <v>3.0822278422626157</v>
      </c>
      <c r="R40" s="185">
        <f t="shared" si="19"/>
        <v>3.0822278422626157</v>
      </c>
      <c r="S40" s="185">
        <f t="shared" si="20"/>
        <v>3.0822278422626157</v>
      </c>
      <c r="T40" s="185">
        <f t="shared" si="21"/>
        <v>3.0822278422626157</v>
      </c>
      <c r="U40" s="180">
        <f>IF(VLEESKUIKENOUDERDIEREN!$H$15="ja",L40-((E40-G40*95%-I40*95%)/E40*L40)*$R$6,L40-((E40-G40*80%-I40)/E40*L40)*$R$6)</f>
        <v>3.0822278422626157</v>
      </c>
      <c r="V40" s="116">
        <f t="shared" si="6"/>
        <v>3.0822278422626157</v>
      </c>
      <c r="W40" s="197">
        <f t="shared" si="22"/>
        <v>3.0822278422626157</v>
      </c>
      <c r="X40" s="227">
        <f t="shared" si="23"/>
        <v>1</v>
      </c>
      <c r="AB40" s="160" t="s">
        <v>175</v>
      </c>
      <c r="AC40" s="161">
        <f>(AC39/$L$71)</f>
        <v>2.2038585605773555</v>
      </c>
      <c r="AD40" s="161">
        <f>(AD39/$L$71)</f>
        <v>2.0992219806508503</v>
      </c>
    </row>
    <row r="41" spans="1:32" x14ac:dyDescent="0.2">
      <c r="D41" s="8">
        <v>11</v>
      </c>
      <c r="E41" s="114">
        <f t="shared" si="26"/>
        <v>3.6248651286003652</v>
      </c>
      <c r="F41" s="7">
        <f t="shared" si="17"/>
        <v>3.6248651286003652</v>
      </c>
      <c r="G41" s="10">
        <f t="shared" si="7"/>
        <v>0</v>
      </c>
      <c r="H41" s="187">
        <f t="shared" si="1"/>
        <v>0</v>
      </c>
      <c r="I41" s="187">
        <f t="shared" si="2"/>
        <v>0</v>
      </c>
      <c r="J41" s="114">
        <f t="shared" si="27"/>
        <v>2.0545070133127807</v>
      </c>
      <c r="K41" s="5">
        <v>447.57627118644069</v>
      </c>
      <c r="L41" s="9">
        <f t="shared" si="8"/>
        <v>3.3332396112202396</v>
      </c>
      <c r="M41" s="200">
        <f t="shared" si="18"/>
        <v>3.3332396112202396</v>
      </c>
      <c r="N41" s="138">
        <f t="shared" si="10"/>
        <v>3.3332396112202396</v>
      </c>
      <c r="O41" s="200">
        <f t="shared" si="11"/>
        <v>3.3332396112202396</v>
      </c>
      <c r="P41" s="200">
        <f t="shared" si="4"/>
        <v>3.3332396112202396</v>
      </c>
      <c r="Q41" s="6">
        <f t="shared" si="5"/>
        <v>3.3332396112202396</v>
      </c>
      <c r="R41" s="185">
        <f t="shared" si="19"/>
        <v>3.3332396112202396</v>
      </c>
      <c r="S41" s="185">
        <f t="shared" si="20"/>
        <v>3.3332396112202396</v>
      </c>
      <c r="T41" s="185">
        <f t="shared" si="21"/>
        <v>3.3332396112202396</v>
      </c>
      <c r="U41" s="180">
        <f>IF(VLEESKUIKENOUDERDIEREN!$H$15="ja",L41-((E41-G41*95%-I41*95%)/E41*L41)*$R$6,L41-((E41-G41*80%-I41)/E41*L41)*$R$6)</f>
        <v>3.3332396112202396</v>
      </c>
      <c r="V41" s="116">
        <f t="shared" si="6"/>
        <v>3.3332396112202396</v>
      </c>
      <c r="W41" s="197">
        <f t="shared" si="22"/>
        <v>3.3332396112202396</v>
      </c>
      <c r="X41" s="227">
        <f t="shared" si="23"/>
        <v>1</v>
      </c>
      <c r="AB41" s="162" t="s">
        <v>176</v>
      </c>
      <c r="AE41" s="163">
        <f>(AC39-AE39)/AC39</f>
        <v>0</v>
      </c>
      <c r="AF41" s="163">
        <f>(AD39-AF39)/AD39</f>
        <v>0</v>
      </c>
    </row>
    <row r="42" spans="1:32" x14ac:dyDescent="0.2">
      <c r="D42" s="8">
        <v>12</v>
      </c>
      <c r="E42" s="114">
        <f t="shared" si="26"/>
        <v>4.0406965145760809</v>
      </c>
      <c r="F42" s="7">
        <f t="shared" si="17"/>
        <v>4.0406965145760809</v>
      </c>
      <c r="G42" s="10">
        <f t="shared" si="7"/>
        <v>0</v>
      </c>
      <c r="H42" s="187">
        <f t="shared" si="1"/>
        <v>0</v>
      </c>
      <c r="I42" s="187">
        <f t="shared" si="2"/>
        <v>0</v>
      </c>
      <c r="J42" s="114">
        <f t="shared" si="27"/>
        <v>2.0328837812420435</v>
      </c>
      <c r="K42" s="5">
        <v>447.13559322033899</v>
      </c>
      <c r="L42" s="9">
        <f t="shared" si="8"/>
        <v>3.6728908838383005</v>
      </c>
      <c r="M42" s="200">
        <f t="shared" si="18"/>
        <v>3.6728908838383005</v>
      </c>
      <c r="N42" s="138">
        <f t="shared" si="10"/>
        <v>3.6728908838383005</v>
      </c>
      <c r="O42" s="200">
        <f t="shared" si="11"/>
        <v>3.6728908838383005</v>
      </c>
      <c r="P42" s="200">
        <f t="shared" si="4"/>
        <v>3.6728908838383005</v>
      </c>
      <c r="Q42" s="6">
        <f t="shared" si="5"/>
        <v>3.6728908838383005</v>
      </c>
      <c r="R42" s="185">
        <f t="shared" si="19"/>
        <v>3.6728908838383005</v>
      </c>
      <c r="S42" s="185">
        <f t="shared" si="20"/>
        <v>3.6728908838383005</v>
      </c>
      <c r="T42" s="185">
        <f t="shared" si="21"/>
        <v>3.6728908838383005</v>
      </c>
      <c r="U42" s="180">
        <f>IF(VLEESKUIKENOUDERDIEREN!$H$15="ja",L42-((E42-G42*95%-I42*95%)/E42*L42)*$R$6,L42-((E42-G42*80%-I42)/E42*L42)*$R$6)</f>
        <v>3.6728908838383005</v>
      </c>
      <c r="V42" s="116">
        <f t="shared" si="6"/>
        <v>3.6728908838383005</v>
      </c>
      <c r="W42" s="197">
        <f t="shared" si="22"/>
        <v>3.6728908838383005</v>
      </c>
      <c r="X42" s="227">
        <f t="shared" si="23"/>
        <v>1</v>
      </c>
    </row>
    <row r="43" spans="1:32" x14ac:dyDescent="0.2">
      <c r="A43" s="153"/>
      <c r="B43" s="154"/>
      <c r="C43" s="155"/>
      <c r="D43" s="8">
        <v>13</v>
      </c>
      <c r="E43" s="114">
        <f t="shared" si="26"/>
        <v>4.5042305695968246</v>
      </c>
      <c r="F43" s="156">
        <f t="shared" si="17"/>
        <v>4.5042305695968246</v>
      </c>
      <c r="G43" s="10">
        <f t="shared" si="7"/>
        <v>0</v>
      </c>
      <c r="H43" s="187">
        <f t="shared" si="1"/>
        <v>0</v>
      </c>
      <c r="I43" s="187">
        <f t="shared" si="2"/>
        <v>0</v>
      </c>
      <c r="J43" s="114">
        <f t="shared" si="27"/>
        <v>2.0087800103809652</v>
      </c>
      <c r="K43" s="5">
        <v>445.25423728813558</v>
      </c>
      <c r="L43" s="9">
        <f t="shared" si="8"/>
        <v>4.0286640481080092</v>
      </c>
      <c r="M43" s="200">
        <f t="shared" si="18"/>
        <v>4.0286640481080092</v>
      </c>
      <c r="N43" s="138">
        <f t="shared" si="10"/>
        <v>4.0286640481080092</v>
      </c>
      <c r="O43" s="200">
        <f t="shared" si="11"/>
        <v>4.0286640481080092</v>
      </c>
      <c r="P43" s="200">
        <f t="shared" si="4"/>
        <v>4.0286640481080092</v>
      </c>
      <c r="Q43" s="6">
        <f t="shared" si="5"/>
        <v>4.0286640481080092</v>
      </c>
      <c r="R43" s="185">
        <f t="shared" si="19"/>
        <v>4.0286640481080092</v>
      </c>
      <c r="S43" s="185">
        <f t="shared" si="20"/>
        <v>4.0286640481080092</v>
      </c>
      <c r="T43" s="185">
        <f t="shared" si="21"/>
        <v>4.0286640481080092</v>
      </c>
      <c r="U43" s="180">
        <f>IF(VLEESKUIKENOUDERDIEREN!$H$15="ja",L43-((E43-G43*95%-I43*95%)/E43*L43)*$R$6,L43-((E43-G43*80%-I43)/E43*L43)*$R$6)</f>
        <v>4.0286640481080092</v>
      </c>
      <c r="V43" s="116">
        <f t="shared" si="6"/>
        <v>4.0286640481080092</v>
      </c>
      <c r="W43" s="197">
        <f t="shared" si="22"/>
        <v>4.0286640481080092</v>
      </c>
      <c r="X43" s="227">
        <f t="shared" si="23"/>
        <v>1</v>
      </c>
    </row>
    <row r="44" spans="1:32" x14ac:dyDescent="0.2">
      <c r="D44" s="8">
        <v>14</v>
      </c>
      <c r="E44" s="114">
        <f t="shared" si="26"/>
        <v>5.0209395709142992</v>
      </c>
      <c r="F44" s="7">
        <f t="shared" si="17"/>
        <v>5.0209395709142992</v>
      </c>
      <c r="G44" s="10">
        <f t="shared" si="7"/>
        <v>0</v>
      </c>
      <c r="H44" s="187">
        <f t="shared" si="1"/>
        <v>0</v>
      </c>
      <c r="I44" s="187">
        <f t="shared" si="2"/>
        <v>0</v>
      </c>
      <c r="J44" s="114">
        <f t="shared" si="27"/>
        <v>1.9819111423124562</v>
      </c>
      <c r="K44" s="5">
        <v>446.27118644067798</v>
      </c>
      <c r="L44" s="9">
        <f t="shared" si="8"/>
        <v>4.440869603370218</v>
      </c>
      <c r="M44" s="200">
        <f t="shared" si="18"/>
        <v>4.440869603370218</v>
      </c>
      <c r="N44" s="138">
        <f t="shared" si="10"/>
        <v>4.440869603370218</v>
      </c>
      <c r="O44" s="200">
        <f t="shared" si="11"/>
        <v>4.440869603370218</v>
      </c>
      <c r="P44" s="200">
        <f t="shared" si="4"/>
        <v>4.440869603370218</v>
      </c>
      <c r="Q44" s="6">
        <f t="shared" si="5"/>
        <v>4.440869603370218</v>
      </c>
      <c r="R44" s="185">
        <f t="shared" si="19"/>
        <v>4.440869603370218</v>
      </c>
      <c r="S44" s="185">
        <f t="shared" si="20"/>
        <v>4.440869603370218</v>
      </c>
      <c r="T44" s="185">
        <f t="shared" si="21"/>
        <v>4.440869603370218</v>
      </c>
      <c r="U44" s="180">
        <f>IF(VLEESKUIKENOUDERDIEREN!$H$15="ja",L44-((E44-G44*95%-I44*95%)/E44*L44)*$R$6,L44-((E44-G44*80%-I44)/E44*L44)*$R$6)</f>
        <v>4.440869603370218</v>
      </c>
      <c r="V44" s="116">
        <f t="shared" si="6"/>
        <v>4.440869603370218</v>
      </c>
      <c r="W44" s="197">
        <f t="shared" si="22"/>
        <v>4.440869603370218</v>
      </c>
      <c r="X44" s="227">
        <f t="shared" si="23"/>
        <v>1</v>
      </c>
    </row>
    <row r="45" spans="1:32" x14ac:dyDescent="0.2">
      <c r="D45" s="8">
        <v>15</v>
      </c>
      <c r="E45" s="114">
        <f t="shared" si="26"/>
        <v>5.5969235555873444</v>
      </c>
      <c r="F45" s="7">
        <f t="shared" si="17"/>
        <v>5.5969235555873444</v>
      </c>
      <c r="G45" s="10">
        <f t="shared" si="7"/>
        <v>0</v>
      </c>
      <c r="H45" s="187">
        <f t="shared" si="1"/>
        <v>0</v>
      </c>
      <c r="I45" s="187">
        <f t="shared" si="2"/>
        <v>0</v>
      </c>
      <c r="J45" s="114">
        <f t="shared" si="27"/>
        <v>1.9519599751094581</v>
      </c>
      <c r="K45" s="5">
        <v>439.54237288135596</v>
      </c>
      <c r="L45" s="9">
        <f t="shared" si="8"/>
        <v>4.8019875733795621</v>
      </c>
      <c r="M45" s="200">
        <f t="shared" si="18"/>
        <v>4.8019875733795621</v>
      </c>
      <c r="N45" s="138">
        <f t="shared" si="10"/>
        <v>4.8019875733795612</v>
      </c>
      <c r="O45" s="200">
        <f t="shared" si="11"/>
        <v>4.8019875733795612</v>
      </c>
      <c r="P45" s="200">
        <f t="shared" si="4"/>
        <v>4.8019875733795621</v>
      </c>
      <c r="Q45" s="6">
        <f t="shared" si="5"/>
        <v>4.8019875733795612</v>
      </c>
      <c r="R45" s="185">
        <f t="shared" si="19"/>
        <v>4.8019875733795621</v>
      </c>
      <c r="S45" s="185">
        <f t="shared" si="20"/>
        <v>4.8019875733795621</v>
      </c>
      <c r="T45" s="185">
        <f t="shared" si="21"/>
        <v>4.8019875733795621</v>
      </c>
      <c r="U45" s="180">
        <f>IF(VLEESKUIKENOUDERDIEREN!$H$15="ja",L45-((E45-G45*95%-I45*95%)/E45*L45)*$R$6,L45-((E45-G45*80%-I45)/E45*L45)*$R$6)</f>
        <v>4.8019875733795621</v>
      </c>
      <c r="V45" s="116">
        <f t="shared" si="6"/>
        <v>4.8019875733795621</v>
      </c>
      <c r="W45" s="197">
        <f t="shared" si="22"/>
        <v>4.8019875733795621</v>
      </c>
      <c r="X45" s="227">
        <f t="shared" si="23"/>
        <v>1</v>
      </c>
    </row>
    <row r="46" spans="1:32" x14ac:dyDescent="0.2">
      <c r="D46" s="8">
        <v>16</v>
      </c>
      <c r="E46" s="114">
        <f t="shared" si="26"/>
        <v>6.2389823348111291</v>
      </c>
      <c r="F46" s="7">
        <f t="shared" si="17"/>
        <v>6.2389823348111291</v>
      </c>
      <c r="G46" s="10">
        <f t="shared" si="7"/>
        <v>0</v>
      </c>
      <c r="H46" s="187">
        <f t="shared" si="1"/>
        <v>0</v>
      </c>
      <c r="I46" s="187">
        <f t="shared" si="2"/>
        <v>0</v>
      </c>
      <c r="J46" s="114">
        <f t="shared" si="27"/>
        <v>1.9185729185898213</v>
      </c>
      <c r="K46" s="5">
        <v>399.15254237288133</v>
      </c>
      <c r="L46" s="9">
        <f t="shared" si="8"/>
        <v>4.7778329997438336</v>
      </c>
      <c r="M46" s="200">
        <f t="shared" si="18"/>
        <v>4.7778329997438336</v>
      </c>
      <c r="N46" s="138">
        <f t="shared" si="10"/>
        <v>4.7778329997438336</v>
      </c>
      <c r="O46" s="200">
        <f t="shared" si="11"/>
        <v>4.7778329997438336</v>
      </c>
      <c r="P46" s="200">
        <f t="shared" si="4"/>
        <v>4.7778329997438336</v>
      </c>
      <c r="Q46" s="6">
        <f t="shared" si="5"/>
        <v>4.7778329997438336</v>
      </c>
      <c r="R46" s="185">
        <f t="shared" si="19"/>
        <v>4.7778329997438336</v>
      </c>
      <c r="S46" s="185">
        <f t="shared" si="20"/>
        <v>4.7778329997438336</v>
      </c>
      <c r="T46" s="185">
        <f t="shared" si="21"/>
        <v>4.7778329997438336</v>
      </c>
      <c r="U46" s="180">
        <f>IF(VLEESKUIKENOUDERDIEREN!$H$15="ja",L46-((E46-G46*95%-I46*95%)/E46*L46)*$R$6,L46-((E46-G46*80%-I46)/E46*L46)*$R$6)</f>
        <v>4.7778329997438336</v>
      </c>
      <c r="V46" s="116">
        <f t="shared" si="6"/>
        <v>4.7778329997438336</v>
      </c>
      <c r="W46" s="197">
        <f t="shared" si="22"/>
        <v>4.7778329997438336</v>
      </c>
      <c r="X46" s="227">
        <f t="shared" si="23"/>
        <v>1</v>
      </c>
    </row>
    <row r="47" spans="1:32" x14ac:dyDescent="0.2">
      <c r="D47" s="8">
        <v>17</v>
      </c>
      <c r="E47" s="114">
        <f t="shared" si="26"/>
        <v>6.9546957694691125</v>
      </c>
      <c r="F47" s="7">
        <f t="shared" si="17"/>
        <v>6.9546957694691125</v>
      </c>
      <c r="G47" s="10">
        <f t="shared" si="7"/>
        <v>0</v>
      </c>
      <c r="H47" s="187">
        <f t="shared" si="1"/>
        <v>0</v>
      </c>
      <c r="I47" s="187">
        <f t="shared" si="2"/>
        <v>0</v>
      </c>
      <c r="J47" s="114">
        <f t="shared" si="27"/>
        <v>1.8813558199876059</v>
      </c>
      <c r="K47" s="5">
        <v>352.50847457627117</v>
      </c>
      <c r="L47" s="9">
        <f t="shared" si="8"/>
        <v>4.6123116036891654</v>
      </c>
      <c r="M47" s="200">
        <f t="shared" si="18"/>
        <v>4.6123116036891654</v>
      </c>
      <c r="N47" s="138">
        <f t="shared" si="10"/>
        <v>4.6123116036891654</v>
      </c>
      <c r="O47" s="200">
        <f t="shared" si="11"/>
        <v>4.6123116036891654</v>
      </c>
      <c r="P47" s="200">
        <f t="shared" si="4"/>
        <v>4.6123116036891654</v>
      </c>
      <c r="Q47" s="6">
        <f t="shared" si="5"/>
        <v>4.6123116036891654</v>
      </c>
      <c r="R47" s="185">
        <f t="shared" si="19"/>
        <v>4.6123116036891654</v>
      </c>
      <c r="S47" s="185">
        <f t="shared" si="20"/>
        <v>4.6123116036891654</v>
      </c>
      <c r="T47" s="185">
        <f t="shared" si="21"/>
        <v>4.6123116036891654</v>
      </c>
      <c r="U47" s="180">
        <f>IF(VLEESKUIKENOUDERDIEREN!$H$15="ja",L47-((E47-G47*95%-I47*95%)/E47*L47)*$R$6,L47-((E47-G47*80%-I47)/E47*L47)*$R$6)</f>
        <v>4.6123116036891654</v>
      </c>
      <c r="V47" s="116">
        <f t="shared" si="6"/>
        <v>4.6123116036891654</v>
      </c>
      <c r="W47" s="197">
        <f t="shared" si="22"/>
        <v>4.6123116036891654</v>
      </c>
      <c r="X47" s="227">
        <f t="shared" si="23"/>
        <v>1</v>
      </c>
    </row>
    <row r="48" spans="1:32" x14ac:dyDescent="0.2">
      <c r="D48" s="8">
        <v>18</v>
      </c>
      <c r="E48" s="114">
        <f t="shared" si="26"/>
        <v>7.7525132546052955</v>
      </c>
      <c r="F48" s="7">
        <f t="shared" si="17"/>
        <v>7.7525132546052955</v>
      </c>
      <c r="G48" s="10">
        <f t="shared" si="7"/>
        <v>0</v>
      </c>
      <c r="H48" s="187">
        <f t="shared" si="1"/>
        <v>0</v>
      </c>
      <c r="I48" s="214">
        <f t="shared" si="2"/>
        <v>0</v>
      </c>
      <c r="J48" s="114">
        <f t="shared" si="27"/>
        <v>1.8398693107605246</v>
      </c>
      <c r="K48" s="5">
        <v>296.76271186440675</v>
      </c>
      <c r="L48" s="9">
        <f t="shared" si="8"/>
        <v>4.2329079461556613</v>
      </c>
      <c r="M48" s="200">
        <f t="shared" si="18"/>
        <v>4.2329079461556613</v>
      </c>
      <c r="N48" s="138">
        <f t="shared" si="10"/>
        <v>4.2329079461556613</v>
      </c>
      <c r="O48" s="200">
        <f t="shared" si="11"/>
        <v>4.2329079461556613</v>
      </c>
      <c r="P48" s="200">
        <f t="shared" si="4"/>
        <v>4.2329079461556613</v>
      </c>
      <c r="Q48" s="6">
        <f t="shared" si="5"/>
        <v>4.2329079461556613</v>
      </c>
      <c r="R48" s="185">
        <f t="shared" si="19"/>
        <v>4.2329079461556613</v>
      </c>
      <c r="S48" s="185">
        <f t="shared" si="20"/>
        <v>4.2329079461556613</v>
      </c>
      <c r="T48" s="185">
        <f t="shared" si="21"/>
        <v>4.2329079461556613</v>
      </c>
      <c r="U48" s="180">
        <f>IF(VLEESKUIKENOUDERDIEREN!$H$15="ja",L48-((E48-G48*95%-I48*95%)/E48*L48)*$R$6,L48-((E48-G48*80%-I48)/E48*L48)*$R$6)</f>
        <v>4.2329079461556613</v>
      </c>
      <c r="V48" s="116">
        <f t="shared" si="6"/>
        <v>4.2329079461556613</v>
      </c>
      <c r="W48" s="197">
        <f t="shared" si="22"/>
        <v>4.2329079461556613</v>
      </c>
      <c r="X48" s="227">
        <f t="shared" si="23"/>
        <v>1</v>
      </c>
    </row>
    <row r="49" spans="4:24" x14ac:dyDescent="0.2">
      <c r="D49" s="8">
        <v>19</v>
      </c>
      <c r="E49" s="114">
        <f t="shared" si="26"/>
        <v>8.6418534692307087</v>
      </c>
      <c r="F49" s="7">
        <f t="shared" si="17"/>
        <v>8.6418534692307087</v>
      </c>
      <c r="G49" s="10">
        <f t="shared" si="7"/>
        <v>0</v>
      </c>
      <c r="H49" s="187">
        <f t="shared" si="1"/>
        <v>0</v>
      </c>
      <c r="I49" s="187">
        <f t="shared" si="2"/>
        <v>0</v>
      </c>
      <c r="J49" s="114">
        <f t="shared" si="27"/>
        <v>1.793623619600003</v>
      </c>
      <c r="K49" s="5">
        <v>238.71186440677965</v>
      </c>
      <c r="L49" s="9">
        <f t="shared" si="8"/>
        <v>3.7000893987024215</v>
      </c>
      <c r="M49" s="200">
        <f t="shared" si="18"/>
        <v>3.7000893987024215</v>
      </c>
      <c r="N49" s="138">
        <f t="shared" si="10"/>
        <v>3.7000893987024215</v>
      </c>
      <c r="O49" s="200">
        <f t="shared" si="11"/>
        <v>3.7000893987024215</v>
      </c>
      <c r="P49" s="200">
        <f t="shared" si="4"/>
        <v>3.7000893987024215</v>
      </c>
      <c r="Q49" s="6">
        <f t="shared" si="5"/>
        <v>3.7000893987024215</v>
      </c>
      <c r="R49" s="185">
        <f t="shared" si="19"/>
        <v>3.7000893987024215</v>
      </c>
      <c r="S49" s="185">
        <f t="shared" si="20"/>
        <v>3.7000893987024215</v>
      </c>
      <c r="T49" s="185">
        <f t="shared" si="21"/>
        <v>3.7000893987024215</v>
      </c>
      <c r="U49" s="180">
        <f>IF(VLEESKUIKENOUDERDIEREN!$H$15="ja",L49-((E49-G49*95%-I49*95%)/E49*L49)*$R$6,L49-((E49-G49*80%-I49)/E49*L49)*$R$6)</f>
        <v>3.7000893987024215</v>
      </c>
      <c r="V49" s="116">
        <f>L49-((E49-G49-I49)/E49*L49)*$R$6</f>
        <v>3.7000893987024215</v>
      </c>
      <c r="W49" s="197">
        <f t="shared" si="22"/>
        <v>3.7000893987024215</v>
      </c>
      <c r="X49" s="227">
        <f t="shared" si="23"/>
        <v>1</v>
      </c>
    </row>
    <row r="50" spans="4:24" x14ac:dyDescent="0.2">
      <c r="D50" s="8">
        <v>20</v>
      </c>
      <c r="E50" s="114">
        <f t="shared" si="26"/>
        <v>9.6332155690660759</v>
      </c>
      <c r="F50" s="7">
        <f t="shared" si="17"/>
        <v>9.6332155690660759</v>
      </c>
      <c r="G50" s="10">
        <f t="shared" si="7"/>
        <v>0</v>
      </c>
      <c r="H50" s="187">
        <f>IF(E50&lt;$R$5,E50-G50,$R$5)</f>
        <v>0</v>
      </c>
      <c r="I50" s="187">
        <f t="shared" si="2"/>
        <v>0</v>
      </c>
      <c r="J50" s="114">
        <f t="shared" si="27"/>
        <v>1.742072790408564</v>
      </c>
      <c r="K50" s="5">
        <v>177.81355932203391</v>
      </c>
      <c r="L50" s="9">
        <f t="shared" si="8"/>
        <v>2.9840249621875192</v>
      </c>
      <c r="M50" s="200">
        <f t="shared" si="18"/>
        <v>2.9840249621875192</v>
      </c>
      <c r="N50" s="138">
        <f t="shared" si="10"/>
        <v>2.9840249621875192</v>
      </c>
      <c r="O50" s="200">
        <f t="shared" si="11"/>
        <v>2.9840249621875192</v>
      </c>
      <c r="P50" s="200">
        <f t="shared" si="4"/>
        <v>2.9840249621875192</v>
      </c>
      <c r="Q50" s="6">
        <f t="shared" si="5"/>
        <v>2.9840249621875192</v>
      </c>
      <c r="R50" s="185">
        <f t="shared" si="19"/>
        <v>2.9840249621875192</v>
      </c>
      <c r="S50" s="185">
        <f t="shared" si="20"/>
        <v>2.9840249621875192</v>
      </c>
      <c r="T50" s="185">
        <f t="shared" si="21"/>
        <v>2.9840249621875192</v>
      </c>
      <c r="U50" s="180">
        <f>IF(VLEESKUIKENOUDERDIEREN!$H$15="ja",L50-((E50-G50*95%-I50*95%)/E50*L50)*$R$6,L50-((E50-G50*80%-I50)/E50*L50)*$R$6)</f>
        <v>2.9840249621875192</v>
      </c>
      <c r="V50" s="116">
        <f t="shared" ref="V50:V65" si="30">L50-((E50-G50-I50)/E50*L50)*$R$6</f>
        <v>2.9840249621875192</v>
      </c>
      <c r="W50" s="197">
        <f t="shared" si="22"/>
        <v>2.9840249621875192</v>
      </c>
      <c r="X50" s="227">
        <f t="shared" si="23"/>
        <v>1</v>
      </c>
    </row>
    <row r="51" spans="4:24" x14ac:dyDescent="0.2">
      <c r="D51" s="8">
        <v>21</v>
      </c>
      <c r="E51" s="114">
        <f t="shared" si="26"/>
        <v>10.738303134912785</v>
      </c>
      <c r="F51" s="7">
        <f t="shared" si="17"/>
        <v>10.738303134912785</v>
      </c>
      <c r="G51" s="10">
        <f t="shared" si="7"/>
        <v>0</v>
      </c>
      <c r="H51" s="187">
        <f t="shared" ref="H51:H65" si="31">IF(E51&lt;$R$5,E51-G51,$R$5)</f>
        <v>0</v>
      </c>
      <c r="I51" s="187">
        <f t="shared" si="2"/>
        <v>0</v>
      </c>
      <c r="J51" s="114">
        <f t="shared" si="27"/>
        <v>1.684608236984535</v>
      </c>
      <c r="K51" s="5">
        <v>138.05084745762713</v>
      </c>
      <c r="L51" s="9">
        <f t="shared" si="8"/>
        <v>2.4973169019622468</v>
      </c>
      <c r="M51" s="200">
        <f t="shared" si="18"/>
        <v>2.4973169019622468</v>
      </c>
      <c r="N51" s="138">
        <f t="shared" si="10"/>
        <v>2.4973169019622463</v>
      </c>
      <c r="O51" s="200">
        <f t="shared" si="11"/>
        <v>2.4973169019622463</v>
      </c>
      <c r="P51" s="200">
        <f t="shared" si="4"/>
        <v>2.4973169019622468</v>
      </c>
      <c r="Q51" s="6">
        <f t="shared" si="5"/>
        <v>2.4973169019622463</v>
      </c>
      <c r="R51" s="185">
        <f t="shared" si="19"/>
        <v>2.4973169019622468</v>
      </c>
      <c r="S51" s="185">
        <f t="shared" si="20"/>
        <v>2.4973169019622468</v>
      </c>
      <c r="T51" s="185">
        <f t="shared" si="21"/>
        <v>2.4973169019622468</v>
      </c>
      <c r="U51" s="180">
        <f>IF(VLEESKUIKENOUDERDIEREN!$H$15="ja",L51-((E51-G51*95%-I51*95%)/E51*L51)*$R$6,L51-((E51-G51*80%-I51)/E51*L51)*$R$6)</f>
        <v>2.4973169019622468</v>
      </c>
      <c r="V51" s="116">
        <f t="shared" si="30"/>
        <v>2.4973169019622468</v>
      </c>
      <c r="W51" s="197">
        <f t="shared" si="22"/>
        <v>2.4973169019622468</v>
      </c>
      <c r="X51" s="227">
        <f t="shared" si="23"/>
        <v>1</v>
      </c>
    </row>
    <row r="52" spans="4:24" x14ac:dyDescent="0.2">
      <c r="D52" s="8">
        <v>22</v>
      </c>
      <c r="E52" s="114">
        <f t="shared" si="26"/>
        <v>11.970162339931624</v>
      </c>
      <c r="F52" s="7">
        <f t="shared" si="17"/>
        <v>11.970162339931624</v>
      </c>
      <c r="G52" s="10">
        <f t="shared" si="7"/>
        <v>0</v>
      </c>
      <c r="H52" s="187">
        <f t="shared" si="31"/>
        <v>0</v>
      </c>
      <c r="I52" s="187">
        <f t="shared" si="2"/>
        <v>0</v>
      </c>
      <c r="J52" s="114">
        <f t="shared" si="27"/>
        <v>1.6205515583235555</v>
      </c>
      <c r="K52" s="5">
        <v>103.08474576271186</v>
      </c>
      <c r="L52" s="9">
        <f t="shared" si="8"/>
        <v>1.9996652398187877</v>
      </c>
      <c r="M52" s="200">
        <f t="shared" si="18"/>
        <v>1.9996652398187877</v>
      </c>
      <c r="N52" s="138">
        <f t="shared" si="10"/>
        <v>1.9996652398187875</v>
      </c>
      <c r="O52" s="200">
        <f t="shared" si="11"/>
        <v>1.9996652398187875</v>
      </c>
      <c r="P52" s="200">
        <f t="shared" si="4"/>
        <v>1.9996652398187877</v>
      </c>
      <c r="Q52" s="6">
        <f t="shared" si="5"/>
        <v>1.9996652398187875</v>
      </c>
      <c r="R52" s="185">
        <f t="shared" si="19"/>
        <v>1.9996652398187877</v>
      </c>
      <c r="S52" s="185">
        <f t="shared" si="20"/>
        <v>1.9996652398187877</v>
      </c>
      <c r="T52" s="185">
        <f t="shared" si="21"/>
        <v>1.9996652398187877</v>
      </c>
      <c r="U52" s="180">
        <f>IF(VLEESKUIKENOUDERDIEREN!$H$15="ja",L52-((E52-G52*95%-I52*95%)/E52*L52)*$R$6,L52-((E52-G52*80%-I52)/E52*L52)*$R$6)</f>
        <v>1.9996652398187877</v>
      </c>
      <c r="V52" s="116">
        <f t="shared" si="30"/>
        <v>1.9996652398187877</v>
      </c>
      <c r="W52" s="197">
        <f t="shared" si="22"/>
        <v>1.9996652398187877</v>
      </c>
      <c r="X52" s="227">
        <f t="shared" si="23"/>
        <v>1</v>
      </c>
    </row>
    <row r="53" spans="4:24" x14ac:dyDescent="0.2">
      <c r="D53" s="8">
        <v>23</v>
      </c>
      <c r="E53" s="114">
        <f t="shared" si="26"/>
        <v>13.343335966970825</v>
      </c>
      <c r="F53" s="7">
        <f t="shared" si="17"/>
        <v>13.343335966970825</v>
      </c>
      <c r="G53" s="10">
        <f t="shared" si="7"/>
        <v>0</v>
      </c>
      <c r="H53" s="187">
        <f t="shared" si="31"/>
        <v>0</v>
      </c>
      <c r="I53" s="187">
        <f t="shared" si="2"/>
        <v>0</v>
      </c>
      <c r="J53" s="114">
        <f t="shared" si="27"/>
        <v>1.5491465297175169</v>
      </c>
      <c r="K53" s="5">
        <v>80.169491525423723</v>
      </c>
      <c r="L53" s="9">
        <f t="shared" si="8"/>
        <v>1.6571661311229695</v>
      </c>
      <c r="M53" s="200">
        <f t="shared" si="18"/>
        <v>1.6571661311229695</v>
      </c>
      <c r="N53" s="138">
        <f t="shared" si="10"/>
        <v>1.6571661311229697</v>
      </c>
      <c r="O53" s="200">
        <f t="shared" si="11"/>
        <v>1.6571661311229697</v>
      </c>
      <c r="P53" s="200">
        <f t="shared" si="4"/>
        <v>1.6571661311229695</v>
      </c>
      <c r="Q53" s="6">
        <f t="shared" si="5"/>
        <v>1.6571661311229697</v>
      </c>
      <c r="R53" s="185">
        <f t="shared" si="19"/>
        <v>1.6571661311229695</v>
      </c>
      <c r="S53" s="185">
        <f t="shared" si="20"/>
        <v>1.6571661311229695</v>
      </c>
      <c r="T53" s="185">
        <f t="shared" si="21"/>
        <v>1.6571661311229695</v>
      </c>
      <c r="U53" s="180">
        <f>IF(VLEESKUIKENOUDERDIEREN!$H$15="ja",L53-((E53-G53*95%-I53*95%)/E53*L53)*$R$6,L53-((E53-G53*80%-I53)/E53*L53)*$R$6)</f>
        <v>1.6571661311229695</v>
      </c>
      <c r="V53" s="116">
        <f t="shared" si="30"/>
        <v>1.6571661311229695</v>
      </c>
      <c r="W53" s="197">
        <f t="shared" si="22"/>
        <v>1.6571661311229695</v>
      </c>
      <c r="X53" s="227">
        <f t="shared" si="23"/>
        <v>1</v>
      </c>
    </row>
    <row r="54" spans="4:24" x14ac:dyDescent="0.2">
      <c r="D54" s="8">
        <v>24</v>
      </c>
      <c r="E54" s="114">
        <f t="shared" si="26"/>
        <v>14.874035094203593</v>
      </c>
      <c r="F54" s="7">
        <f t="shared" si="17"/>
        <v>14.874035094203593</v>
      </c>
      <c r="G54" s="10">
        <f t="shared" si="7"/>
        <v>0</v>
      </c>
      <c r="H54" s="187">
        <f t="shared" si="31"/>
        <v>0</v>
      </c>
      <c r="I54" s="187">
        <f t="shared" si="2"/>
        <v>0</v>
      </c>
      <c r="J54" s="114">
        <f t="shared" si="27"/>
        <v>1.4695501751014131</v>
      </c>
      <c r="K54" s="5">
        <v>59.915254237288138</v>
      </c>
      <c r="L54" s="9">
        <f t="shared" si="8"/>
        <v>1.3096360678089896</v>
      </c>
      <c r="M54" s="200">
        <f t="shared" si="18"/>
        <v>1.3096360678089896</v>
      </c>
      <c r="N54" s="138">
        <f t="shared" si="10"/>
        <v>1.3096360678089898</v>
      </c>
      <c r="O54" s="200">
        <f t="shared" si="11"/>
        <v>1.3096360678089898</v>
      </c>
      <c r="P54" s="200">
        <f t="shared" si="4"/>
        <v>1.3096360678089896</v>
      </c>
      <c r="Q54" s="6">
        <f t="shared" si="5"/>
        <v>1.3096360678089898</v>
      </c>
      <c r="R54" s="185">
        <f t="shared" si="19"/>
        <v>1.3096360678089896</v>
      </c>
      <c r="S54" s="185">
        <f t="shared" si="20"/>
        <v>1.3096360678089896</v>
      </c>
      <c r="T54" s="185">
        <f t="shared" si="21"/>
        <v>1.3096360678089896</v>
      </c>
      <c r="U54" s="180">
        <f>IF(VLEESKUIKENOUDERDIEREN!$H$15="ja",L54-((E54-G54*95%-I54*95%)/E54*L54)*$R$6,L54-((E54-G54*80%-I54)/E54*L54)*$R$6)</f>
        <v>1.3096360678089896</v>
      </c>
      <c r="V54" s="116">
        <f t="shared" si="30"/>
        <v>1.3096360678089896</v>
      </c>
      <c r="W54" s="197">
        <f t="shared" si="22"/>
        <v>1.3096360678089896</v>
      </c>
      <c r="X54" s="227">
        <f t="shared" si="23"/>
        <v>1</v>
      </c>
    </row>
    <row r="55" spans="4:24" x14ac:dyDescent="0.2">
      <c r="D55" s="8">
        <v>25</v>
      </c>
      <c r="E55" s="10">
        <v>15</v>
      </c>
      <c r="F55" s="7">
        <f t="shared" si="17"/>
        <v>15</v>
      </c>
      <c r="G55" s="10">
        <f t="shared" si="7"/>
        <v>0</v>
      </c>
      <c r="H55" s="187">
        <f t="shared" si="31"/>
        <v>0</v>
      </c>
      <c r="I55" s="187">
        <f t="shared" si="2"/>
        <v>0</v>
      </c>
      <c r="J55" s="114">
        <f t="shared" si="27"/>
        <v>1.4630000000000001</v>
      </c>
      <c r="K55" s="5">
        <v>46.016949152542374</v>
      </c>
      <c r="L55" s="9">
        <f t="shared" si="8"/>
        <v>1.0098419491525426</v>
      </c>
      <c r="M55" s="200">
        <f t="shared" si="18"/>
        <v>1.0098419491525426</v>
      </c>
      <c r="N55" s="138">
        <f t="shared" si="10"/>
        <v>1.0098419491525426</v>
      </c>
      <c r="O55" s="200">
        <f t="shared" si="11"/>
        <v>1.0098419491525426</v>
      </c>
      <c r="P55" s="200">
        <f t="shared" si="4"/>
        <v>1.0098419491525426</v>
      </c>
      <c r="Q55" s="6">
        <f t="shared" si="5"/>
        <v>1.0098419491525426</v>
      </c>
      <c r="R55" s="185">
        <f t="shared" si="19"/>
        <v>1.0098419491525426</v>
      </c>
      <c r="S55" s="185">
        <f t="shared" si="20"/>
        <v>1.0098419491525426</v>
      </c>
      <c r="T55" s="185">
        <f t="shared" si="21"/>
        <v>1.0098419491525426</v>
      </c>
      <c r="U55" s="180">
        <f>IF(VLEESKUIKENOUDERDIEREN!$H$15="ja",L55-((E55-G55*95%-I55*95%)/E55*L55)*$R$6,L55-((E55-G55*80%-I55)/E55*L55)*$R$6)</f>
        <v>1.0098419491525426</v>
      </c>
      <c r="V55" s="116">
        <f t="shared" si="30"/>
        <v>1.0098419491525426</v>
      </c>
      <c r="W55" s="197">
        <f t="shared" si="22"/>
        <v>1.0098419491525426</v>
      </c>
      <c r="X55" s="227">
        <f t="shared" si="23"/>
        <v>1</v>
      </c>
    </row>
    <row r="56" spans="4:24" x14ac:dyDescent="0.2">
      <c r="D56" s="8">
        <v>26</v>
      </c>
      <c r="E56" s="10">
        <v>15</v>
      </c>
      <c r="F56" s="7">
        <f t="shared" si="17"/>
        <v>15</v>
      </c>
      <c r="G56" s="10">
        <f t="shared" si="7"/>
        <v>0</v>
      </c>
      <c r="H56" s="187">
        <f t="shared" si="31"/>
        <v>0</v>
      </c>
      <c r="I56" s="187">
        <f t="shared" si="2"/>
        <v>0</v>
      </c>
      <c r="J56" s="114">
        <f t="shared" si="27"/>
        <v>1.4630000000000001</v>
      </c>
      <c r="K56" s="5">
        <v>35.118644067796609</v>
      </c>
      <c r="L56" s="9">
        <f t="shared" si="8"/>
        <v>0.77067864406779663</v>
      </c>
      <c r="M56" s="200">
        <f t="shared" si="18"/>
        <v>0.77067864406779663</v>
      </c>
      <c r="N56" s="138">
        <f t="shared" si="10"/>
        <v>0.77067864406779663</v>
      </c>
      <c r="O56" s="200">
        <f t="shared" si="11"/>
        <v>0.77067864406779663</v>
      </c>
      <c r="P56" s="200">
        <f t="shared" si="4"/>
        <v>0.77067864406779663</v>
      </c>
      <c r="Q56" s="6">
        <f t="shared" si="5"/>
        <v>0.77067864406779663</v>
      </c>
      <c r="R56" s="185">
        <f t="shared" si="19"/>
        <v>0.77067864406779663</v>
      </c>
      <c r="S56" s="185">
        <f t="shared" si="20"/>
        <v>0.77067864406779663</v>
      </c>
      <c r="T56" s="185">
        <f t="shared" si="21"/>
        <v>0.77067864406779663</v>
      </c>
      <c r="U56" s="180">
        <f>IF(VLEESKUIKENOUDERDIEREN!$H$15="ja",L56-((E56-G56*95%-I56*95%)/E56*L56)*$R$6,L56-((E56-G56*80%-I56)/E56*L56)*$R$6)</f>
        <v>0.77067864406779663</v>
      </c>
      <c r="V56" s="116">
        <f t="shared" si="30"/>
        <v>0.77067864406779663</v>
      </c>
      <c r="W56" s="197">
        <f t="shared" si="22"/>
        <v>0.77067864406779663</v>
      </c>
      <c r="X56" s="227">
        <f t="shared" si="23"/>
        <v>1</v>
      </c>
    </row>
    <row r="57" spans="4:24" x14ac:dyDescent="0.2">
      <c r="D57" s="8">
        <v>27</v>
      </c>
      <c r="E57" s="10">
        <v>15</v>
      </c>
      <c r="F57" s="7">
        <f t="shared" si="17"/>
        <v>15</v>
      </c>
      <c r="G57" s="10">
        <f t="shared" si="7"/>
        <v>0</v>
      </c>
      <c r="H57" s="187">
        <f t="shared" si="31"/>
        <v>0</v>
      </c>
      <c r="I57" s="187">
        <f t="shared" ref="I57:I65" si="32">MIN(R$5,E57-G57)</f>
        <v>0</v>
      </c>
      <c r="J57" s="114">
        <f t="shared" si="27"/>
        <v>1.4630000000000001</v>
      </c>
      <c r="K57" s="5">
        <v>25.491525423728813</v>
      </c>
      <c r="L57" s="9">
        <f t="shared" si="8"/>
        <v>0.55941152542372885</v>
      </c>
      <c r="M57" s="200">
        <f t="shared" si="18"/>
        <v>0.55941152542372885</v>
      </c>
      <c r="N57" s="138">
        <f t="shared" si="10"/>
        <v>0.55941152542372885</v>
      </c>
      <c r="O57" s="200">
        <f t="shared" si="11"/>
        <v>0.55941152542372885</v>
      </c>
      <c r="P57" s="200">
        <f t="shared" si="4"/>
        <v>0.55941152542372885</v>
      </c>
      <c r="Q57" s="6">
        <f t="shared" si="5"/>
        <v>0.55941152542372885</v>
      </c>
      <c r="R57" s="185">
        <f t="shared" si="19"/>
        <v>0.55941152542372885</v>
      </c>
      <c r="S57" s="185">
        <f t="shared" si="20"/>
        <v>0.55941152542372885</v>
      </c>
      <c r="T57" s="185">
        <f t="shared" si="21"/>
        <v>0.55941152542372885</v>
      </c>
      <c r="U57" s="180">
        <f>IF(VLEESKUIKENOUDERDIEREN!$H$15="ja",L57-((E57-G57*95%-I57*95%)/E57*L57)*$R$6,L57-((E57-G57*80%-I57)/E57*L57)*$R$6)</f>
        <v>0.55941152542372885</v>
      </c>
      <c r="V57" s="116">
        <f t="shared" si="30"/>
        <v>0.55941152542372885</v>
      </c>
      <c r="W57" s="197">
        <f t="shared" si="22"/>
        <v>0.55941152542372885</v>
      </c>
      <c r="X57" s="227">
        <f t="shared" si="23"/>
        <v>1</v>
      </c>
    </row>
    <row r="58" spans="4:24" x14ac:dyDescent="0.2">
      <c r="D58" s="8">
        <v>28</v>
      </c>
      <c r="E58" s="10">
        <v>15</v>
      </c>
      <c r="F58" s="7">
        <f t="shared" si="17"/>
        <v>15</v>
      </c>
      <c r="G58" s="10">
        <f t="shared" si="7"/>
        <v>0</v>
      </c>
      <c r="H58" s="187">
        <f t="shared" si="31"/>
        <v>0</v>
      </c>
      <c r="I58" s="187">
        <f t="shared" si="32"/>
        <v>0</v>
      </c>
      <c r="J58" s="114">
        <f t="shared" si="27"/>
        <v>1.4630000000000001</v>
      </c>
      <c r="K58" s="5">
        <v>17.966101694915253</v>
      </c>
      <c r="L58" s="9">
        <f t="shared" si="8"/>
        <v>0.39426610169491522</v>
      </c>
      <c r="M58" s="200">
        <f t="shared" si="18"/>
        <v>0.39426610169491522</v>
      </c>
      <c r="N58" s="138">
        <f t="shared" si="10"/>
        <v>0.39426610169491527</v>
      </c>
      <c r="O58" s="200">
        <f t="shared" si="11"/>
        <v>0.39426610169491527</v>
      </c>
      <c r="P58" s="200">
        <f t="shared" si="4"/>
        <v>0.39426610169491522</v>
      </c>
      <c r="Q58" s="6">
        <f t="shared" si="5"/>
        <v>0.39426610169491527</v>
      </c>
      <c r="R58" s="185">
        <f t="shared" si="19"/>
        <v>0.39426610169491522</v>
      </c>
      <c r="S58" s="185">
        <f t="shared" si="20"/>
        <v>0.39426610169491522</v>
      </c>
      <c r="T58" s="185">
        <f t="shared" si="21"/>
        <v>0.39426610169491522</v>
      </c>
      <c r="U58" s="180">
        <f>IF(VLEESKUIKENOUDERDIEREN!$H$15="ja",L58-((E58-G58*95%-I58*95%)/E58*L58)*$R$6,L58-((E58-G58*80%-I58)/E58*L58)*$R$6)</f>
        <v>0.39426610169491522</v>
      </c>
      <c r="V58" s="116">
        <f t="shared" si="30"/>
        <v>0.39426610169491522</v>
      </c>
      <c r="W58" s="197">
        <f t="shared" si="22"/>
        <v>0.39426610169491522</v>
      </c>
      <c r="X58" s="227">
        <f t="shared" si="23"/>
        <v>1</v>
      </c>
    </row>
    <row r="59" spans="4:24" x14ac:dyDescent="0.2">
      <c r="D59" s="8">
        <v>29</v>
      </c>
      <c r="E59" s="10">
        <v>15</v>
      </c>
      <c r="F59" s="7">
        <f t="shared" si="17"/>
        <v>15</v>
      </c>
      <c r="G59" s="10">
        <f t="shared" si="7"/>
        <v>0</v>
      </c>
      <c r="H59" s="187">
        <f t="shared" si="31"/>
        <v>0</v>
      </c>
      <c r="I59" s="187">
        <f t="shared" si="32"/>
        <v>0</v>
      </c>
      <c r="J59" s="114">
        <f t="shared" si="27"/>
        <v>1.4630000000000001</v>
      </c>
      <c r="K59" s="5">
        <v>12.728813559322035</v>
      </c>
      <c r="L59" s="9">
        <f t="shared" si="8"/>
        <v>0.27933381355932208</v>
      </c>
      <c r="M59" s="200">
        <f t="shared" si="18"/>
        <v>0.27933381355932208</v>
      </c>
      <c r="N59" s="138">
        <f t="shared" si="10"/>
        <v>0.27933381355932208</v>
      </c>
      <c r="O59" s="200">
        <f t="shared" si="11"/>
        <v>0.27933381355932208</v>
      </c>
      <c r="P59" s="200">
        <f t="shared" si="4"/>
        <v>0.27933381355932208</v>
      </c>
      <c r="Q59" s="6">
        <f t="shared" si="5"/>
        <v>0.27933381355932208</v>
      </c>
      <c r="R59" s="185">
        <f t="shared" si="19"/>
        <v>0.27933381355932208</v>
      </c>
      <c r="S59" s="185">
        <f t="shared" si="20"/>
        <v>0.27933381355932208</v>
      </c>
      <c r="T59" s="185">
        <f t="shared" si="21"/>
        <v>0.27933381355932208</v>
      </c>
      <c r="U59" s="180">
        <f>IF(VLEESKUIKENOUDERDIEREN!$H$15="ja",L59-((E59-G59*95%-I59*95%)/E59*L59)*$R$6,L59-((E59-G59*80%-I59)/E59*L59)*$R$6)</f>
        <v>0.27933381355932208</v>
      </c>
      <c r="V59" s="116">
        <f t="shared" si="30"/>
        <v>0.27933381355932208</v>
      </c>
      <c r="W59" s="197">
        <f t="shared" si="22"/>
        <v>0.27933381355932208</v>
      </c>
      <c r="X59" s="227">
        <f t="shared" si="23"/>
        <v>1</v>
      </c>
    </row>
    <row r="60" spans="4:24" x14ac:dyDescent="0.2">
      <c r="D60" s="8">
        <v>30</v>
      </c>
      <c r="E60" s="10">
        <v>15</v>
      </c>
      <c r="F60" s="7">
        <f t="shared" si="17"/>
        <v>15</v>
      </c>
      <c r="G60" s="10">
        <f t="shared" si="7"/>
        <v>0</v>
      </c>
      <c r="H60" s="187">
        <f t="shared" si="31"/>
        <v>0</v>
      </c>
      <c r="I60" s="187">
        <f t="shared" si="32"/>
        <v>0</v>
      </c>
      <c r="J60" s="114">
        <f t="shared" si="27"/>
        <v>1.4630000000000001</v>
      </c>
      <c r="K60" s="5">
        <v>8.1186440677966107</v>
      </c>
      <c r="L60" s="9">
        <f t="shared" si="8"/>
        <v>0.17816364406779664</v>
      </c>
      <c r="M60" s="200">
        <f t="shared" si="18"/>
        <v>0.17816364406779664</v>
      </c>
      <c r="N60" s="138">
        <f t="shared" si="10"/>
        <v>0.17816364406779664</v>
      </c>
      <c r="O60" s="200">
        <f t="shared" si="11"/>
        <v>0.17816364406779664</v>
      </c>
      <c r="P60" s="200">
        <f t="shared" si="4"/>
        <v>0.17816364406779664</v>
      </c>
      <c r="Q60" s="6">
        <f t="shared" si="5"/>
        <v>0.17816364406779664</v>
      </c>
      <c r="R60" s="185">
        <f t="shared" si="19"/>
        <v>0.17816364406779664</v>
      </c>
      <c r="S60" s="185">
        <f t="shared" si="20"/>
        <v>0.17816364406779664</v>
      </c>
      <c r="T60" s="185">
        <f t="shared" si="21"/>
        <v>0.17816364406779664</v>
      </c>
      <c r="U60" s="180">
        <f>IF(VLEESKUIKENOUDERDIEREN!$H$15="ja",L60-((E60-G60*95%-I60*95%)/E60*L60)*$R$6,L60-((E60-G60*80%-I60)/E60*L60)*$R$6)</f>
        <v>0.17816364406779664</v>
      </c>
      <c r="V60" s="116">
        <f t="shared" si="30"/>
        <v>0.17816364406779664</v>
      </c>
      <c r="W60" s="197">
        <f t="shared" si="22"/>
        <v>0.17816364406779664</v>
      </c>
      <c r="X60" s="227">
        <f t="shared" si="23"/>
        <v>1</v>
      </c>
    </row>
    <row r="61" spans="4:24" x14ac:dyDescent="0.2">
      <c r="D61" s="8">
        <v>31</v>
      </c>
      <c r="E61" s="10">
        <v>15</v>
      </c>
      <c r="F61" s="7">
        <f t="shared" si="17"/>
        <v>15</v>
      </c>
      <c r="G61" s="10">
        <f t="shared" si="7"/>
        <v>0</v>
      </c>
      <c r="H61" s="187">
        <f t="shared" si="31"/>
        <v>0</v>
      </c>
      <c r="I61" s="187">
        <f t="shared" si="32"/>
        <v>0</v>
      </c>
      <c r="J61" s="114">
        <f t="shared" si="27"/>
        <v>1.4630000000000001</v>
      </c>
      <c r="K61" s="5">
        <v>5.593220338983051</v>
      </c>
      <c r="L61" s="9">
        <f t="shared" si="8"/>
        <v>0.12274322033898308</v>
      </c>
      <c r="M61" s="200">
        <f t="shared" si="18"/>
        <v>0.12274322033898308</v>
      </c>
      <c r="N61" s="138">
        <f t="shared" si="10"/>
        <v>0.12274322033898306</v>
      </c>
      <c r="O61" s="200">
        <f t="shared" si="11"/>
        <v>0.12274322033898306</v>
      </c>
      <c r="P61" s="200">
        <f t="shared" si="4"/>
        <v>0.12274322033898308</v>
      </c>
      <c r="Q61" s="6">
        <f t="shared" si="5"/>
        <v>0.12274322033898306</v>
      </c>
      <c r="R61" s="185">
        <f t="shared" si="19"/>
        <v>0.12274322033898308</v>
      </c>
      <c r="S61" s="185">
        <f t="shared" si="20"/>
        <v>0.12274322033898308</v>
      </c>
      <c r="T61" s="185">
        <f t="shared" si="21"/>
        <v>0.12274322033898308</v>
      </c>
      <c r="U61" s="180">
        <f>IF(VLEESKUIKENOUDERDIEREN!$H$15="ja",L61-((E61-G61*95%-I61*95%)/E61*L61)*$R$6,L61-((E61-G61*80%-I61)/E61*L61)*$R$6)</f>
        <v>0.12274322033898308</v>
      </c>
      <c r="V61" s="116">
        <f t="shared" si="30"/>
        <v>0.12274322033898308</v>
      </c>
      <c r="W61" s="197">
        <f t="shared" si="22"/>
        <v>0.12274322033898308</v>
      </c>
      <c r="X61" s="227">
        <f t="shared" si="23"/>
        <v>1</v>
      </c>
    </row>
    <row r="62" spans="4:24" x14ac:dyDescent="0.2">
      <c r="D62" s="8">
        <v>32</v>
      </c>
      <c r="E62" s="10">
        <v>15</v>
      </c>
      <c r="F62" s="7">
        <f t="shared" si="17"/>
        <v>15</v>
      </c>
      <c r="G62" s="10">
        <f t="shared" si="7"/>
        <v>0</v>
      </c>
      <c r="H62" s="187">
        <f t="shared" si="31"/>
        <v>0</v>
      </c>
      <c r="I62" s="187">
        <f t="shared" si="32"/>
        <v>0</v>
      </c>
      <c r="J62" s="114">
        <f t="shared" si="27"/>
        <v>1.4630000000000001</v>
      </c>
      <c r="K62" s="5">
        <v>2.7796610169491527</v>
      </c>
      <c r="L62" s="9">
        <f t="shared" si="8"/>
        <v>6.0999661016949161E-2</v>
      </c>
      <c r="M62" s="200">
        <f t="shared" si="18"/>
        <v>6.0999661016949161E-2</v>
      </c>
      <c r="N62" s="138">
        <f t="shared" si="10"/>
        <v>6.0999661016949161E-2</v>
      </c>
      <c r="O62" s="200">
        <f t="shared" si="11"/>
        <v>6.0999661016949161E-2</v>
      </c>
      <c r="P62" s="200">
        <f t="shared" si="4"/>
        <v>6.0999661016949161E-2</v>
      </c>
      <c r="Q62" s="6">
        <f t="shared" si="5"/>
        <v>6.0999661016949161E-2</v>
      </c>
      <c r="R62" s="185">
        <f t="shared" si="19"/>
        <v>6.0999661016949161E-2</v>
      </c>
      <c r="S62" s="185">
        <f t="shared" si="20"/>
        <v>6.0999661016949161E-2</v>
      </c>
      <c r="T62" s="185">
        <f t="shared" si="21"/>
        <v>6.0999661016949161E-2</v>
      </c>
      <c r="U62" s="180">
        <f>IF(VLEESKUIKENOUDERDIEREN!$H$15="ja",L62-((E62-G62*95%-I62*95%)/E62*L62)*$R$6,L62-((E62-G62*80%-I62)/E62*L62)*$R$6)</f>
        <v>6.0999661016949161E-2</v>
      </c>
      <c r="V62" s="116">
        <f t="shared" si="30"/>
        <v>6.0999661016949161E-2</v>
      </c>
      <c r="W62" s="197">
        <f t="shared" si="22"/>
        <v>6.0999661016949161E-2</v>
      </c>
      <c r="X62" s="227">
        <f t="shared" si="23"/>
        <v>1</v>
      </c>
    </row>
    <row r="63" spans="4:24" x14ac:dyDescent="0.2">
      <c r="D63" s="8">
        <v>33</v>
      </c>
      <c r="E63" s="10">
        <v>15</v>
      </c>
      <c r="F63" s="7">
        <f t="shared" si="17"/>
        <v>15</v>
      </c>
      <c r="G63" s="10">
        <f t="shared" si="7"/>
        <v>0</v>
      </c>
      <c r="H63" s="187">
        <f t="shared" si="31"/>
        <v>0</v>
      </c>
      <c r="I63" s="187">
        <f t="shared" si="32"/>
        <v>0</v>
      </c>
      <c r="J63" s="114">
        <f t="shared" si="27"/>
        <v>1.4630000000000001</v>
      </c>
      <c r="K63" s="5">
        <v>1.2881355932203389</v>
      </c>
      <c r="L63" s="9">
        <f t="shared" si="8"/>
        <v>2.8268135593220337E-2</v>
      </c>
      <c r="M63" s="200">
        <f t="shared" si="18"/>
        <v>2.8268135593220337E-2</v>
      </c>
      <c r="N63" s="138">
        <f t="shared" si="10"/>
        <v>2.8268135593220341E-2</v>
      </c>
      <c r="O63" s="200">
        <f t="shared" si="11"/>
        <v>2.8268135593220341E-2</v>
      </c>
      <c r="P63" s="200">
        <f t="shared" si="4"/>
        <v>2.8268135593220337E-2</v>
      </c>
      <c r="Q63" s="6">
        <f t="shared" si="5"/>
        <v>2.8268135593220341E-2</v>
      </c>
      <c r="R63" s="185">
        <f t="shared" si="19"/>
        <v>2.8268135593220337E-2</v>
      </c>
      <c r="S63" s="185">
        <f>IF(E63-G63-H63&gt;=0,L63-((E63-G63-H63)/E63*L63)*$R$6,IF(G63&gt;H63,L63-((E63-G63)/E63*L63)*$R$6,L63-((E63-H63)/E63*L63)*$R$6))</f>
        <v>2.8268135593220337E-2</v>
      </c>
      <c r="T63" s="185">
        <f t="shared" si="21"/>
        <v>2.8268135593220337E-2</v>
      </c>
      <c r="U63" s="180">
        <f>IF(VLEESKUIKENOUDERDIEREN!$H$15="ja",L63-((E63-G63*95%-I63*95%)/E63*L63)*$R$6,L63-((E63-G63*80%-I63)/E63*L63)*$R$6)</f>
        <v>2.8268135593220337E-2</v>
      </c>
      <c r="V63" s="116">
        <f t="shared" si="30"/>
        <v>2.8268135593220337E-2</v>
      </c>
      <c r="W63" s="197">
        <f t="shared" si="22"/>
        <v>2.8268135593220337E-2</v>
      </c>
      <c r="X63" s="227">
        <f t="shared" si="23"/>
        <v>1</v>
      </c>
    </row>
    <row r="64" spans="4:24" x14ac:dyDescent="0.2">
      <c r="D64" s="8">
        <v>34</v>
      </c>
      <c r="E64" s="10">
        <v>15</v>
      </c>
      <c r="F64" s="7">
        <f t="shared" si="17"/>
        <v>15</v>
      </c>
      <c r="G64" s="10">
        <f t="shared" si="7"/>
        <v>0</v>
      </c>
      <c r="H64" s="187">
        <f t="shared" si="31"/>
        <v>0</v>
      </c>
      <c r="I64" s="187">
        <f t="shared" si="32"/>
        <v>0</v>
      </c>
      <c r="J64" s="114">
        <f t="shared" si="27"/>
        <v>1.4630000000000001</v>
      </c>
      <c r="K64" s="5">
        <v>0.59322033898305082</v>
      </c>
      <c r="L64" s="9">
        <f t="shared" si="8"/>
        <v>1.3018220338983052E-2</v>
      </c>
      <c r="M64" s="200">
        <f t="shared" si="18"/>
        <v>1.3018220338983052E-2</v>
      </c>
      <c r="N64" s="138">
        <f t="shared" si="10"/>
        <v>1.3018220338983052E-2</v>
      </c>
      <c r="O64" s="200">
        <f t="shared" si="11"/>
        <v>1.3018220338983052E-2</v>
      </c>
      <c r="P64" s="200">
        <f t="shared" si="4"/>
        <v>1.3018220338983052E-2</v>
      </c>
      <c r="Q64" s="6">
        <f t="shared" si="5"/>
        <v>1.3018220338983052E-2</v>
      </c>
      <c r="R64" s="185">
        <f t="shared" si="19"/>
        <v>1.3018220338983052E-2</v>
      </c>
      <c r="S64" s="185">
        <f t="shared" si="20"/>
        <v>1.3018220338983052E-2</v>
      </c>
      <c r="T64" s="185">
        <f t="shared" si="21"/>
        <v>1.3018220338983052E-2</v>
      </c>
      <c r="U64" s="180">
        <f>IF(VLEESKUIKENOUDERDIEREN!$H$15="ja",L64-((E64-G64*95%-I64*95%)/E64*L64)*$R$6,L64-((E64-G64*80%-I64)/E64*L64)*$R$6)</f>
        <v>1.3018220338983052E-2</v>
      </c>
      <c r="V64" s="116">
        <f t="shared" si="30"/>
        <v>1.3018220338983052E-2</v>
      </c>
      <c r="W64" s="197">
        <f t="shared" si="22"/>
        <v>1.3018220338983052E-2</v>
      </c>
      <c r="X64" s="227">
        <f t="shared" si="23"/>
        <v>1</v>
      </c>
    </row>
    <row r="65" spans="2:24" x14ac:dyDescent="0.2">
      <c r="D65" s="8">
        <v>35</v>
      </c>
      <c r="E65" s="10">
        <v>15</v>
      </c>
      <c r="F65" s="7">
        <f t="shared" si="17"/>
        <v>15</v>
      </c>
      <c r="G65" s="10">
        <f t="shared" si="7"/>
        <v>0</v>
      </c>
      <c r="H65" s="187">
        <f t="shared" si="31"/>
        <v>0</v>
      </c>
      <c r="I65" s="187">
        <f t="shared" si="32"/>
        <v>0</v>
      </c>
      <c r="J65" s="114">
        <f t="shared" si="27"/>
        <v>1.4630000000000001</v>
      </c>
      <c r="K65" s="5">
        <v>0.15254237288135594</v>
      </c>
      <c r="L65" s="9">
        <f t="shared" si="8"/>
        <v>3.3475423728813562E-3</v>
      </c>
      <c r="M65" s="200">
        <f t="shared" si="18"/>
        <v>3.3475423728813562E-3</v>
      </c>
      <c r="N65" s="138">
        <f t="shared" si="10"/>
        <v>3.3475423728813567E-3</v>
      </c>
      <c r="O65" s="200">
        <f t="shared" si="11"/>
        <v>3.3475423728813567E-3</v>
      </c>
      <c r="P65" s="200">
        <f>IF(I65=0,L65,IF(I65&gt;$R$5,L65-(R$5)/E65*L65*95%,L65-(I65)/E65*L65*95%))</f>
        <v>3.3475423728813562E-3</v>
      </c>
      <c r="Q65" s="6">
        <f>($J65-$J$3)/1000*$F65*$K65+($J65-$J$3)/1000*$G65*$K65*(1-95%)</f>
        <v>3.3475423728813567E-3</v>
      </c>
      <c r="R65" s="185">
        <f t="shared" si="19"/>
        <v>3.3475423728813562E-3</v>
      </c>
      <c r="S65" s="185">
        <f t="shared" si="20"/>
        <v>3.3475423728813562E-3</v>
      </c>
      <c r="T65" s="185">
        <f t="shared" si="21"/>
        <v>3.3475423728813562E-3</v>
      </c>
      <c r="U65" s="180">
        <f>IF(VLEESKUIKENOUDERDIEREN!$H$15="ja",L65-((E65-G65*95%-I65*95%)/E65*L65)*$R$6,L65-((E65-G65*80%-I65)/E65*L65)*$R$6)</f>
        <v>3.3475423728813562E-3</v>
      </c>
      <c r="V65" s="116">
        <f t="shared" si="30"/>
        <v>3.3475423728813562E-3</v>
      </c>
      <c r="W65" s="197">
        <f t="shared" si="22"/>
        <v>3.3475423728813562E-3</v>
      </c>
      <c r="X65" s="227">
        <f t="shared" si="23"/>
        <v>1</v>
      </c>
    </row>
    <row r="66" spans="2:24" x14ac:dyDescent="0.2">
      <c r="E66" s="7"/>
      <c r="F66" s="7"/>
      <c r="G66" s="187"/>
      <c r="H66" s="187"/>
      <c r="I66" s="187"/>
      <c r="J66" s="6"/>
      <c r="K66" s="19"/>
      <c r="L66" s="6"/>
      <c r="M66" s="200"/>
      <c r="N66" s="138"/>
      <c r="O66" s="200"/>
      <c r="P66" s="200"/>
      <c r="Q66" s="6"/>
      <c r="R66" s="185"/>
      <c r="S66" s="185"/>
      <c r="T66" s="185"/>
      <c r="U66" s="180"/>
      <c r="V66" s="116"/>
      <c r="W66" s="197"/>
      <c r="X66" s="227"/>
    </row>
    <row r="67" spans="2:24" x14ac:dyDescent="0.2">
      <c r="M67" s="22" t="s">
        <v>24</v>
      </c>
      <c r="O67" s="199" t="s">
        <v>24</v>
      </c>
      <c r="P67" s="209"/>
      <c r="Q67" s="1">
        <f>I65/(E65-G65)*(L65-(L65-O65)/80%)*5%</f>
        <v>0</v>
      </c>
      <c r="R67" s="39" t="s">
        <v>24</v>
      </c>
      <c r="S67" s="115"/>
      <c r="T67" s="115"/>
      <c r="U67" s="181"/>
      <c r="W67" s="38" t="s">
        <v>24</v>
      </c>
    </row>
    <row r="68" spans="2:24" x14ac:dyDescent="0.2">
      <c r="B68" s="5" t="e">
        <f>AVERAGE(B9:B66)</f>
        <v>#DIV/0!</v>
      </c>
      <c r="E68" s="7">
        <f>AVERAGE(E10:E66)</f>
        <v>5.7136505926932397</v>
      </c>
      <c r="G68" s="1" t="s">
        <v>24</v>
      </c>
      <c r="L68" s="1" t="s">
        <v>24</v>
      </c>
      <c r="M68" s="199"/>
      <c r="O68" s="22"/>
      <c r="P68" s="210">
        <f>IF(R$5&lt;E5,R$5/E62*(L62-(L62-O62)/80%)*95%,E$5/E62*(L62-(L62-O62)/80%)*95%)</f>
        <v>0</v>
      </c>
      <c r="Q68" s="1" t="e">
        <f>L66-I66/(E66)*(L66-(L66-O66)/80%)*95%</f>
        <v>#DIV/0!</v>
      </c>
      <c r="R68" s="1">
        <f>(L60-(L60-O60)/80%)</f>
        <v>0.17816364406779664</v>
      </c>
      <c r="S68" s="114">
        <f>5%*R68</f>
        <v>8.9081822033898316E-3</v>
      </c>
      <c r="T68" s="114" t="s">
        <v>24</v>
      </c>
      <c r="U68" s="182" t="s">
        <v>24</v>
      </c>
    </row>
    <row r="69" spans="2:24" x14ac:dyDescent="0.2">
      <c r="D69" s="1" t="s">
        <v>177</v>
      </c>
      <c r="F69" s="164">
        <v>0</v>
      </c>
      <c r="H69" s="1" t="s">
        <v>24</v>
      </c>
      <c r="M69" s="22"/>
      <c r="O69" s="200"/>
      <c r="P69" s="22" t="e">
        <f>L66-R$5/E66*L66*95%</f>
        <v>#DIV/0!</v>
      </c>
      <c r="Q69" s="1">
        <f>E64/(E64-G64)*(L64-(L64-O64)/80%)*(1-95%)</f>
        <v>6.5091101694915324E-4</v>
      </c>
      <c r="R69" s="1" t="e">
        <f>I66/(E66-G66)</f>
        <v>#DIV/0!</v>
      </c>
      <c r="U69" s="181"/>
    </row>
    <row r="70" spans="2:24" x14ac:dyDescent="0.2">
      <c r="E70" s="7">
        <f>SUM(E10:E66)</f>
        <v>319.96443319082141</v>
      </c>
      <c r="F70" s="7">
        <f>SUM(F10:F66)</f>
        <v>319.96443319082141</v>
      </c>
      <c r="G70" s="7">
        <f>SUM(G10:G66)</f>
        <v>0</v>
      </c>
      <c r="H70" s="7"/>
      <c r="I70" s="7"/>
      <c r="K70" s="39" t="s">
        <v>178</v>
      </c>
      <c r="L70" s="7">
        <f t="shared" ref="L70" si="33">AVERAGE(L10:L66)</f>
        <v>1.2691611568002741</v>
      </c>
      <c r="M70" s="27">
        <f t="shared" ref="M70:N70" si="34">AVERAGE(M10:M66)</f>
        <v>1.2691611568002741</v>
      </c>
      <c r="N70" s="165">
        <f t="shared" si="34"/>
        <v>1.2691611568002741</v>
      </c>
      <c r="O70" s="27">
        <f>AVERAGE(O10:O67)</f>
        <v>1.2691611568002741</v>
      </c>
      <c r="P70" s="27">
        <f>AVERAGE(P10:P67)</f>
        <v>1.2691611568002741</v>
      </c>
      <c r="Q70" s="165">
        <f t="shared" ref="Q70" si="35">AVERAGE(Q10:Q66)</f>
        <v>1.2691611568002741</v>
      </c>
      <c r="R70" s="165">
        <f t="shared" ref="R70:W70" si="36">AVERAGE(R10:R66)</f>
        <v>1.2691611568002741</v>
      </c>
      <c r="S70" s="165">
        <f t="shared" si="36"/>
        <v>1.2691611568002741</v>
      </c>
      <c r="T70" s="165">
        <f t="shared" si="36"/>
        <v>1.2691611568002741</v>
      </c>
      <c r="U70" s="183">
        <f t="shared" si="36"/>
        <v>1.2691611568002741</v>
      </c>
      <c r="V70" s="165">
        <f t="shared" si="36"/>
        <v>1.2691611568002741</v>
      </c>
      <c r="W70" s="165">
        <f t="shared" si="36"/>
        <v>1.2691611568002741</v>
      </c>
      <c r="X70" s="39" t="s">
        <v>24</v>
      </c>
    </row>
    <row r="71" spans="2:24" x14ac:dyDescent="0.2">
      <c r="F71" s="19">
        <f>F70/$E$70</f>
        <v>1</v>
      </c>
      <c r="G71" s="19">
        <f>G70/$E$70</f>
        <v>0</v>
      </c>
      <c r="H71" s="19"/>
      <c r="I71" s="19"/>
      <c r="K71" s="39" t="s">
        <v>179</v>
      </c>
      <c r="L71" s="7">
        <f t="shared" ref="L71" si="37">L70*0.81</f>
        <v>1.028020537008222</v>
      </c>
      <c r="M71" s="27">
        <f t="shared" ref="M71:N71" si="38">M70*0.81</f>
        <v>1.028020537008222</v>
      </c>
      <c r="N71" s="165">
        <f t="shared" si="38"/>
        <v>1.028020537008222</v>
      </c>
      <c r="O71" s="27">
        <f t="shared" ref="O71:Q71" si="39">O70*0.81</f>
        <v>1.028020537008222</v>
      </c>
      <c r="P71" s="27">
        <f t="shared" si="39"/>
        <v>1.028020537008222</v>
      </c>
      <c r="Q71" s="165">
        <f t="shared" si="39"/>
        <v>1.028020537008222</v>
      </c>
      <c r="R71" s="165">
        <f t="shared" ref="R71:W71" si="40">R70*0.81</f>
        <v>1.028020537008222</v>
      </c>
      <c r="S71" s="165">
        <f t="shared" si="40"/>
        <v>1.028020537008222</v>
      </c>
      <c r="T71" s="165">
        <f t="shared" si="40"/>
        <v>1.028020537008222</v>
      </c>
      <c r="U71" s="183">
        <f t="shared" si="40"/>
        <v>1.028020537008222</v>
      </c>
      <c r="V71" s="165">
        <f t="shared" si="40"/>
        <v>1.028020537008222</v>
      </c>
      <c r="W71" s="165">
        <f t="shared" si="40"/>
        <v>1.028020537008222</v>
      </c>
    </row>
    <row r="72" spans="2:24" x14ac:dyDescent="0.2">
      <c r="D72" s="1" t="s">
        <v>180</v>
      </c>
      <c r="K72" s="1" t="s">
        <v>176</v>
      </c>
      <c r="L72" s="166">
        <f t="shared" ref="L72:V72" si="41">1-(L71/$L$71)</f>
        <v>0</v>
      </c>
      <c r="M72" s="201">
        <f t="shared" si="41"/>
        <v>0</v>
      </c>
      <c r="N72" s="166">
        <f t="shared" si="41"/>
        <v>0</v>
      </c>
      <c r="O72" s="201">
        <f t="shared" ref="O72:Q72" si="42">1-(O71/$L$71)</f>
        <v>0</v>
      </c>
      <c r="P72" s="201">
        <f>1-(P71/($L$71))</f>
        <v>0</v>
      </c>
      <c r="Q72" s="166">
        <f t="shared" si="42"/>
        <v>0</v>
      </c>
      <c r="R72" s="166">
        <f>1-(R71/$L$71)</f>
        <v>0</v>
      </c>
      <c r="S72" s="166">
        <f>1-(S71/$L$71)</f>
        <v>0</v>
      </c>
      <c r="T72" s="166">
        <f>1-(T71/$L$71)</f>
        <v>0</v>
      </c>
      <c r="U72" s="184">
        <f t="shared" si="41"/>
        <v>0</v>
      </c>
      <c r="V72" s="166">
        <f t="shared" si="41"/>
        <v>0</v>
      </c>
      <c r="W72" s="166">
        <f t="shared" ref="W72" si="43">1-(W71/$L$71)</f>
        <v>0</v>
      </c>
    </row>
    <row r="73" spans="2:24" x14ac:dyDescent="0.2">
      <c r="P73" s="228">
        <f>M72-P72</f>
        <v>0</v>
      </c>
    </row>
    <row r="74" spans="2:24" x14ac:dyDescent="0.2">
      <c r="D74" s="164"/>
      <c r="O74" s="6">
        <f>O66+P66</f>
        <v>0</v>
      </c>
      <c r="P74" s="1" t="e">
        <f>(L66-I66/(E66-G66)*(L66-(L66-O66)/80%))*95%</f>
        <v>#DIV/0!</v>
      </c>
      <c r="W74" s="38" t="s">
        <v>24</v>
      </c>
    </row>
    <row r="75" spans="2:24" x14ac:dyDescent="0.2">
      <c r="E75" s="7"/>
      <c r="P75" s="1" t="e">
        <f>(L66-I66/(E66-G66))*(1-95%)</f>
        <v>#DIV/0!</v>
      </c>
      <c r="Q75" s="1" t="s">
        <v>24</v>
      </c>
    </row>
    <row r="76" spans="2:24" x14ac:dyDescent="0.2">
      <c r="P76" s="1" t="e">
        <f>(L66-I66/(E66-G66))*5%</f>
        <v>#DIV/0!</v>
      </c>
    </row>
    <row r="77" spans="2:24" x14ac:dyDescent="0.2">
      <c r="P77" s="1">
        <f>(O66-(L66-O66)/80%)</f>
        <v>0</v>
      </c>
    </row>
    <row r="78" spans="2:24" x14ac:dyDescent="0.2">
      <c r="P78" s="1" t="e">
        <f>I66/(E66-G66)</f>
        <v>#DIV/0!</v>
      </c>
    </row>
    <row r="79" spans="2:24" x14ac:dyDescent="0.2">
      <c r="N79" s="1">
        <f>20%*O79</f>
        <v>0</v>
      </c>
      <c r="O79" s="6">
        <f>L66-O66</f>
        <v>0</v>
      </c>
    </row>
    <row r="80" spans="2:24" x14ac:dyDescent="0.2">
      <c r="N80" s="6">
        <f>O66-N79</f>
        <v>0</v>
      </c>
      <c r="O80" s="1">
        <f>O79/95%</f>
        <v>0</v>
      </c>
    </row>
    <row r="81" spans="14:15" x14ac:dyDescent="0.2">
      <c r="N81" s="1">
        <f>95%*N80</f>
        <v>0</v>
      </c>
      <c r="O81" s="6">
        <f>L66-O80</f>
        <v>0</v>
      </c>
    </row>
    <row r="82" spans="14:15" x14ac:dyDescent="0.2">
      <c r="N82" s="6">
        <f>L66-P66</f>
        <v>0</v>
      </c>
      <c r="O82" s="1">
        <f>5%*O81</f>
        <v>0</v>
      </c>
    </row>
    <row r="83" spans="14:15" x14ac:dyDescent="0.2">
      <c r="O83" s="227" t="e">
        <f>5.95/L66</f>
        <v>#DIV/0!</v>
      </c>
    </row>
    <row r="84" spans="14:15" x14ac:dyDescent="0.2">
      <c r="N84" s="1">
        <f>95%*P66</f>
        <v>0</v>
      </c>
    </row>
  </sheetData>
  <sheetProtection algorithmName="SHA-512" hashValue="5OwJLLScWhuwzpGEDHL68a0fTrlgBcyzh/dmNfGSSDYL3JojdC3puQGTIYjYv2cfycCL6SjB8HPsJBBKlkqpIg==" saltValue="TXvmrF66C9cOqE5QyQ9fsw==" spinCount="100000" sheet="1" objects="1" scenarios="1"/>
  <mergeCells count="3">
    <mergeCell ref="AB1:AF1"/>
    <mergeCell ref="AC4:AD4"/>
    <mergeCell ref="AE4:AF4"/>
  </mergeCells>
  <printOptions gridLines="1"/>
  <pageMargins left="0.2" right="0.21" top="0.18" bottom="0.17" header="0.17" footer="0.17"/>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I48"/>
  <sheetViews>
    <sheetView topLeftCell="J4" zoomScale="85" zoomScaleNormal="85" workbookViewId="0">
      <selection activeCell="I4" sqref="A1:I1048576"/>
    </sheetView>
  </sheetViews>
  <sheetFormatPr defaultColWidth="8.85546875" defaultRowHeight="11.25" x14ac:dyDescent="0.15"/>
  <cols>
    <col min="1" max="1" width="29.7109375" style="67" hidden="1" customWidth="1"/>
    <col min="2" max="2" width="18.7109375" style="67" hidden="1" customWidth="1"/>
    <col min="3" max="3" width="11.7109375" style="67" hidden="1" customWidth="1"/>
    <col min="4" max="4" width="13.140625" style="67" hidden="1" customWidth="1"/>
    <col min="5" max="5" width="12" style="67" hidden="1" customWidth="1"/>
    <col min="6" max="6" width="13.28515625" style="67" hidden="1" customWidth="1"/>
    <col min="7" max="7" width="12.140625" style="67" hidden="1" customWidth="1"/>
    <col min="8" max="8" width="12.28515625" style="67" hidden="1" customWidth="1"/>
    <col min="9" max="9" width="12.85546875" style="67" hidden="1" customWidth="1"/>
    <col min="10" max="16384" width="8.85546875" style="67"/>
  </cols>
  <sheetData>
    <row r="1" spans="1:4" x14ac:dyDescent="0.15">
      <c r="A1" s="66" t="s">
        <v>76</v>
      </c>
    </row>
    <row r="3" spans="1:4" x14ac:dyDescent="0.15">
      <c r="B3" s="68" t="s">
        <v>77</v>
      </c>
    </row>
    <row r="4" spans="1:4" x14ac:dyDescent="0.15">
      <c r="B4" s="69"/>
    </row>
    <row r="5" spans="1:4" x14ac:dyDescent="0.15">
      <c r="A5" s="70" t="s">
        <v>78</v>
      </c>
    </row>
    <row r="6" spans="1:4" x14ac:dyDescent="0.15">
      <c r="A6" s="67" t="s">
        <v>79</v>
      </c>
      <c r="B6" s="67">
        <v>1.73</v>
      </c>
    </row>
    <row r="7" spans="1:4" x14ac:dyDescent="0.15">
      <c r="A7" s="67" t="s">
        <v>80</v>
      </c>
      <c r="B7" s="67">
        <v>8.01</v>
      </c>
    </row>
    <row r="8" spans="1:4" x14ac:dyDescent="0.15">
      <c r="A8" s="67" t="s">
        <v>81</v>
      </c>
      <c r="B8" s="67">
        <v>4.8600000000000003</v>
      </c>
    </row>
    <row r="9" spans="1:4" x14ac:dyDescent="0.15">
      <c r="A9" s="67" t="s">
        <v>82</v>
      </c>
      <c r="B9" s="67">
        <v>15</v>
      </c>
    </row>
    <row r="10" spans="1:4" x14ac:dyDescent="0.15">
      <c r="A10" s="67" t="s">
        <v>83</v>
      </c>
      <c r="B10" s="67">
        <v>6.1761991606700253</v>
      </c>
    </row>
    <row r="11" spans="1:4" x14ac:dyDescent="0.15">
      <c r="A11" s="67" t="s">
        <v>84</v>
      </c>
      <c r="B11" s="67">
        <v>12.35</v>
      </c>
    </row>
    <row r="12" spans="1:4" x14ac:dyDescent="0.15">
      <c r="A12" s="67" t="s">
        <v>85</v>
      </c>
      <c r="B12" s="67">
        <v>24.84</v>
      </c>
    </row>
    <row r="13" spans="1:4" x14ac:dyDescent="0.15">
      <c r="A13" s="67" t="s">
        <v>86</v>
      </c>
      <c r="B13" s="67">
        <v>12.56</v>
      </c>
    </row>
    <row r="16" spans="1:4" x14ac:dyDescent="0.15">
      <c r="A16" s="70" t="s">
        <v>87</v>
      </c>
      <c r="C16" s="71" t="s">
        <v>88</v>
      </c>
      <c r="D16" s="71" t="s">
        <v>89</v>
      </c>
    </row>
    <row r="17" spans="1:9" x14ac:dyDescent="0.15">
      <c r="A17" s="67" t="s">
        <v>79</v>
      </c>
      <c r="B17" s="67" t="s">
        <v>90</v>
      </c>
      <c r="C17" s="72">
        <v>0.80700000000000005</v>
      </c>
      <c r="D17" s="73">
        <v>0.85</v>
      </c>
      <c r="E17" s="67" t="s">
        <v>91</v>
      </c>
    </row>
    <row r="18" spans="1:9" x14ac:dyDescent="0.15">
      <c r="B18" s="67" t="s">
        <v>92</v>
      </c>
      <c r="C18" s="72">
        <v>0.83799999999999997</v>
      </c>
      <c r="D18" s="73">
        <v>0.85</v>
      </c>
    </row>
    <row r="19" spans="1:9" x14ac:dyDescent="0.15">
      <c r="A19" s="67" t="s">
        <v>80</v>
      </c>
      <c r="B19" s="67" t="s">
        <v>90</v>
      </c>
      <c r="C19" s="72">
        <v>1.835</v>
      </c>
      <c r="D19" s="74">
        <v>2</v>
      </c>
    </row>
    <row r="20" spans="1:9" x14ac:dyDescent="0.15">
      <c r="B20" s="67" t="s">
        <v>92</v>
      </c>
      <c r="C20" s="72">
        <v>1.899</v>
      </c>
      <c r="D20" s="74">
        <v>2</v>
      </c>
    </row>
    <row r="23" spans="1:9" x14ac:dyDescent="0.15">
      <c r="A23" s="70" t="s">
        <v>93</v>
      </c>
    </row>
    <row r="24" spans="1:9" x14ac:dyDescent="0.15">
      <c r="A24" s="68" t="s">
        <v>94</v>
      </c>
    </row>
    <row r="25" spans="1:9" x14ac:dyDescent="0.15">
      <c r="A25" s="75" t="s">
        <v>95</v>
      </c>
      <c r="B25" s="76">
        <v>0.13</v>
      </c>
      <c r="C25" s="75"/>
      <c r="D25" s="76">
        <v>0.31</v>
      </c>
      <c r="E25" s="75"/>
      <c r="F25" s="76">
        <v>0.37</v>
      </c>
      <c r="G25" s="75"/>
      <c r="H25" s="76">
        <v>0.5</v>
      </c>
      <c r="I25" s="75"/>
    </row>
    <row r="26" spans="1:9" x14ac:dyDescent="0.15">
      <c r="B26" s="71" t="s">
        <v>88</v>
      </c>
      <c r="C26" s="71" t="s">
        <v>89</v>
      </c>
      <c r="D26" s="71" t="s">
        <v>88</v>
      </c>
      <c r="E26" s="71" t="s">
        <v>89</v>
      </c>
      <c r="F26" s="71" t="s">
        <v>88</v>
      </c>
      <c r="G26" s="71" t="s">
        <v>89</v>
      </c>
      <c r="H26" s="71" t="s">
        <v>88</v>
      </c>
      <c r="I26" s="71" t="s">
        <v>89</v>
      </c>
    </row>
    <row r="27" spans="1:9" x14ac:dyDescent="0.15">
      <c r="A27" s="67" t="s">
        <v>79</v>
      </c>
      <c r="B27" s="67">
        <v>0.17499999999999999</v>
      </c>
      <c r="C27" s="67">
        <v>0.2</v>
      </c>
      <c r="D27" s="67">
        <v>0.434</v>
      </c>
      <c r="E27" s="77">
        <v>0.4</v>
      </c>
      <c r="F27" s="67">
        <v>0.52700000000000002</v>
      </c>
      <c r="G27" s="67">
        <v>0.55000000000000004</v>
      </c>
      <c r="H27" s="67">
        <v>0.745</v>
      </c>
      <c r="I27" s="67">
        <v>0.8</v>
      </c>
    </row>
    <row r="28" spans="1:9" x14ac:dyDescent="0.15">
      <c r="A28" s="67" t="s">
        <v>80</v>
      </c>
      <c r="B28" s="67">
        <v>0.439</v>
      </c>
      <c r="C28" s="67">
        <v>0.4</v>
      </c>
      <c r="D28" s="67">
        <v>1.048</v>
      </c>
      <c r="E28" s="77">
        <v>1</v>
      </c>
      <c r="F28" s="67">
        <v>1.252</v>
      </c>
      <c r="G28" s="67">
        <v>1.25</v>
      </c>
      <c r="H28" s="67">
        <v>1.708</v>
      </c>
      <c r="I28" s="67">
        <v>1.8</v>
      </c>
    </row>
    <row r="29" spans="1:9" x14ac:dyDescent="0.15">
      <c r="A29" s="67" t="s">
        <v>81</v>
      </c>
      <c r="B29" s="67">
        <v>0.42</v>
      </c>
      <c r="C29" s="67">
        <v>0.4</v>
      </c>
      <c r="D29" s="67">
        <v>1.0469999999999999</v>
      </c>
      <c r="E29" s="77">
        <v>1</v>
      </c>
      <c r="F29" s="67">
        <v>1.2789999999999999</v>
      </c>
      <c r="G29" s="67">
        <v>1.3</v>
      </c>
      <c r="H29" s="67">
        <v>1.84</v>
      </c>
      <c r="I29" s="67">
        <v>1.9</v>
      </c>
    </row>
    <row r="30" spans="1:9" x14ac:dyDescent="0.15">
      <c r="A30" s="67" t="s">
        <v>82</v>
      </c>
      <c r="B30" s="67">
        <v>0.59499999999999997</v>
      </c>
      <c r="C30" s="67">
        <v>0.6</v>
      </c>
      <c r="D30" s="67">
        <v>1.4850000000000001</v>
      </c>
      <c r="E30" s="77">
        <v>1.5</v>
      </c>
      <c r="F30" s="67">
        <v>1.845</v>
      </c>
      <c r="G30" s="67">
        <v>1.85</v>
      </c>
      <c r="H30" s="67">
        <v>2.8450000000000002</v>
      </c>
      <c r="I30" s="67">
        <v>2.9</v>
      </c>
    </row>
    <row r="31" spans="1:9" x14ac:dyDescent="0.15">
      <c r="A31" s="67" t="s">
        <v>83</v>
      </c>
      <c r="B31" s="67">
        <v>0.35699999999999998</v>
      </c>
      <c r="C31" s="67">
        <v>0.35</v>
      </c>
      <c r="D31" s="67">
        <v>1.0009999999999999</v>
      </c>
      <c r="E31" s="77">
        <v>1</v>
      </c>
      <c r="F31" s="67">
        <v>1.27</v>
      </c>
      <c r="G31" s="67">
        <v>1.3</v>
      </c>
      <c r="H31" s="67">
        <v>1.9750000000000001</v>
      </c>
      <c r="I31" s="77">
        <v>2</v>
      </c>
    </row>
    <row r="32" spans="1:9" x14ac:dyDescent="0.15">
      <c r="A32" s="67" t="s">
        <v>84</v>
      </c>
      <c r="B32" s="67">
        <v>1.2450000000000001</v>
      </c>
      <c r="C32" s="67">
        <v>1.1000000000000001</v>
      </c>
      <c r="D32" s="67">
        <v>3.17</v>
      </c>
      <c r="E32" s="77">
        <v>3</v>
      </c>
      <c r="F32" s="67">
        <v>3.86</v>
      </c>
      <c r="G32" s="67">
        <v>3.85</v>
      </c>
      <c r="H32" s="67">
        <v>5.5</v>
      </c>
      <c r="I32" s="67">
        <v>5.6</v>
      </c>
    </row>
    <row r="33" spans="1:9" x14ac:dyDescent="0.15">
      <c r="A33" s="67" t="s">
        <v>85</v>
      </c>
      <c r="B33" s="67">
        <v>2.6949999999999998</v>
      </c>
      <c r="C33" s="67">
        <v>2.5</v>
      </c>
      <c r="D33" s="67">
        <v>6.75</v>
      </c>
      <c r="E33" s="77">
        <v>6.2</v>
      </c>
      <c r="F33" s="67">
        <v>8.1750000000000007</v>
      </c>
      <c r="G33" s="67">
        <v>8.1999999999999993</v>
      </c>
      <c r="H33" s="67">
        <v>11.5</v>
      </c>
      <c r="I33" s="67">
        <v>11.7</v>
      </c>
    </row>
    <row r="34" spans="1:9" x14ac:dyDescent="0.15">
      <c r="A34" s="67" t="s">
        <v>86</v>
      </c>
      <c r="B34" s="67">
        <v>0.88</v>
      </c>
      <c r="C34" s="67">
        <v>0.8</v>
      </c>
      <c r="D34" s="67">
        <v>2.4849999999999999</v>
      </c>
      <c r="E34" s="77">
        <v>2.2999999999999998</v>
      </c>
      <c r="F34" s="67">
        <v>3.12</v>
      </c>
      <c r="G34" s="67">
        <v>3.15</v>
      </c>
      <c r="H34" s="67">
        <v>4.7300000000000004</v>
      </c>
      <c r="I34" s="67">
        <v>4.8</v>
      </c>
    </row>
    <row r="36" spans="1:9" x14ac:dyDescent="0.15">
      <c r="A36" s="68" t="s">
        <v>96</v>
      </c>
    </row>
    <row r="37" spans="1:9" x14ac:dyDescent="0.15">
      <c r="A37" s="75" t="s">
        <v>95</v>
      </c>
      <c r="B37" s="76">
        <v>0.13</v>
      </c>
      <c r="C37" s="75"/>
      <c r="D37" s="76">
        <v>0.31</v>
      </c>
      <c r="E37" s="75"/>
      <c r="F37" s="76">
        <v>0.37</v>
      </c>
      <c r="G37" s="75"/>
      <c r="H37" s="76">
        <v>0.5</v>
      </c>
      <c r="I37" s="75"/>
    </row>
    <row r="38" spans="1:9" x14ac:dyDescent="0.15">
      <c r="B38" s="71" t="s">
        <v>88</v>
      </c>
      <c r="C38" s="71" t="s">
        <v>89</v>
      </c>
      <c r="D38" s="71" t="s">
        <v>88</v>
      </c>
      <c r="E38" s="71" t="s">
        <v>89</v>
      </c>
      <c r="F38" s="71" t="s">
        <v>88</v>
      </c>
      <c r="G38" s="71" t="s">
        <v>89</v>
      </c>
      <c r="H38" s="71" t="s">
        <v>88</v>
      </c>
      <c r="I38" s="71" t="s">
        <v>89</v>
      </c>
    </row>
    <row r="39" spans="1:9" x14ac:dyDescent="0.15">
      <c r="A39" s="67" t="s">
        <v>79</v>
      </c>
      <c r="B39" s="67">
        <v>0.14099999999999999</v>
      </c>
      <c r="C39" s="67">
        <v>0.15</v>
      </c>
      <c r="D39" s="67">
        <v>0.34599999999999997</v>
      </c>
      <c r="E39" s="77">
        <v>0.35</v>
      </c>
      <c r="F39" s="67">
        <v>0.41799999999999998</v>
      </c>
      <c r="G39" s="67">
        <v>0.4</v>
      </c>
      <c r="H39" s="67">
        <v>0.58099999999999996</v>
      </c>
      <c r="I39" s="67">
        <v>0.6</v>
      </c>
    </row>
    <row r="40" spans="1:9" x14ac:dyDescent="0.15">
      <c r="A40" s="67" t="s">
        <v>80</v>
      </c>
      <c r="B40" s="67">
        <v>0.35499999999999998</v>
      </c>
      <c r="C40" s="67">
        <v>0.35</v>
      </c>
      <c r="D40" s="67">
        <v>0.84699999999999998</v>
      </c>
      <c r="E40" s="77">
        <v>0.85</v>
      </c>
      <c r="F40" s="67">
        <v>1.012</v>
      </c>
      <c r="G40" s="77">
        <v>1</v>
      </c>
      <c r="H40" s="67">
        <v>1.369</v>
      </c>
      <c r="I40" s="67">
        <v>1.4</v>
      </c>
    </row>
    <row r="41" spans="1:9" x14ac:dyDescent="0.15">
      <c r="A41" s="67" t="s">
        <v>81</v>
      </c>
      <c r="B41" s="67">
        <v>0.33700000000000002</v>
      </c>
      <c r="C41" s="67">
        <v>0.35</v>
      </c>
      <c r="D41" s="67">
        <v>0.83099999999999996</v>
      </c>
      <c r="E41" s="77">
        <v>0.85</v>
      </c>
      <c r="F41" s="67">
        <v>1.008</v>
      </c>
      <c r="G41" s="67">
        <v>1.1000000000000001</v>
      </c>
      <c r="H41" s="67">
        <v>1.417</v>
      </c>
      <c r="I41" s="67">
        <v>1.45</v>
      </c>
    </row>
    <row r="42" spans="1:9" x14ac:dyDescent="0.15">
      <c r="A42" s="67" t="s">
        <v>82</v>
      </c>
      <c r="B42" s="67">
        <v>0.48</v>
      </c>
      <c r="C42" s="67">
        <v>0.5</v>
      </c>
      <c r="D42" s="67">
        <v>1.161</v>
      </c>
      <c r="E42" s="77">
        <v>1.2</v>
      </c>
      <c r="F42" s="67">
        <v>1.4219999999999999</v>
      </c>
      <c r="G42" s="67">
        <v>1.5</v>
      </c>
      <c r="H42" s="67">
        <v>2.0750000000000002</v>
      </c>
      <c r="I42" s="67">
        <v>2.1</v>
      </c>
    </row>
    <row r="43" spans="1:9" x14ac:dyDescent="0.15">
      <c r="A43" s="67" t="s">
        <v>83</v>
      </c>
      <c r="B43" s="67">
        <v>0.28499999999999998</v>
      </c>
      <c r="C43" s="67">
        <v>0.3</v>
      </c>
      <c r="D43" s="67">
        <v>0.76500000000000001</v>
      </c>
      <c r="E43" s="240">
        <v>0.75</v>
      </c>
      <c r="F43" s="67">
        <v>0.95799999999999996</v>
      </c>
      <c r="G43" s="77">
        <v>1</v>
      </c>
      <c r="H43" s="67">
        <v>1.4350000000000001</v>
      </c>
      <c r="I43" s="67">
        <v>1.45</v>
      </c>
    </row>
    <row r="44" spans="1:9" x14ac:dyDescent="0.15">
      <c r="A44" s="67" t="s">
        <v>84</v>
      </c>
      <c r="B44" s="67">
        <v>0.999</v>
      </c>
      <c r="C44" s="67">
        <v>0.9</v>
      </c>
      <c r="D44" s="67">
        <v>2.5099999999999998</v>
      </c>
      <c r="E44" s="77">
        <v>2.5</v>
      </c>
      <c r="F44" s="67">
        <v>3.0449999999999999</v>
      </c>
      <c r="G44" s="77">
        <v>3</v>
      </c>
      <c r="H44" s="67">
        <v>4.2699999999999996</v>
      </c>
      <c r="I44" s="67">
        <v>4.3</v>
      </c>
    </row>
    <row r="45" spans="1:9" x14ac:dyDescent="0.15">
      <c r="A45" s="67" t="s">
        <v>85</v>
      </c>
      <c r="B45" s="67">
        <v>2.165</v>
      </c>
      <c r="C45" s="67">
        <v>2.2000000000000002</v>
      </c>
      <c r="D45" s="67">
        <v>5.3579999999999997</v>
      </c>
      <c r="E45" s="77">
        <v>5.3</v>
      </c>
      <c r="F45" s="67">
        <v>6.4749999999999996</v>
      </c>
      <c r="G45" s="67">
        <v>6.2</v>
      </c>
      <c r="H45" s="67">
        <v>9.01</v>
      </c>
      <c r="I45" s="77">
        <v>9</v>
      </c>
    </row>
    <row r="46" spans="1:9" x14ac:dyDescent="0.15">
      <c r="A46" s="67" t="s">
        <v>86</v>
      </c>
      <c r="B46" s="67">
        <v>0.69199999999999995</v>
      </c>
      <c r="C46" s="67">
        <v>0.7</v>
      </c>
      <c r="D46" s="67">
        <v>1.91</v>
      </c>
      <c r="E46" s="77">
        <v>1.9</v>
      </c>
      <c r="F46" s="67">
        <v>2.375</v>
      </c>
      <c r="G46" s="67">
        <v>2.2999999999999998</v>
      </c>
      <c r="H46" s="67">
        <v>3.51</v>
      </c>
      <c r="I46" s="77">
        <v>3.6</v>
      </c>
    </row>
    <row r="48" spans="1:9" x14ac:dyDescent="0.15">
      <c r="C48" s="67">
        <f>C42/B42</f>
        <v>1.0416666666666667</v>
      </c>
      <c r="E48" s="67">
        <f>E42/D42</f>
        <v>1.0335917312661498</v>
      </c>
      <c r="G48" s="67">
        <f>G42/F42</f>
        <v>1.0548523206751055</v>
      </c>
      <c r="I48" s="67">
        <f>I42/H42</f>
        <v>1.0120481927710843</v>
      </c>
    </row>
  </sheetData>
  <sheetProtection algorithmName="SHA-512" hashValue="RFv2a0jofxA8BR6+Das1xtX9kTrZmBwLtJxUhlu1y0TDh+jy5mHC37lQGT5yNb5DNnwPKryMMiB4z100yp/nAQ==" saltValue="l0SDaeKsbviLx9eA+kSm2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C55"/>
  <sheetViews>
    <sheetView topLeftCell="F28" workbookViewId="0">
      <selection activeCell="E28" sqref="A1:E1048576"/>
    </sheetView>
  </sheetViews>
  <sheetFormatPr defaultColWidth="12.42578125" defaultRowHeight="15.75" x14ac:dyDescent="0.25"/>
  <cols>
    <col min="1" max="1" width="5.5703125" style="42" hidden="1" customWidth="1"/>
    <col min="2" max="2" width="36.28515625" style="42" hidden="1" customWidth="1"/>
    <col min="3" max="3" width="8" style="44" hidden="1" customWidth="1"/>
    <col min="4" max="4" width="8.28515625" style="43" hidden="1" customWidth="1"/>
    <col min="5" max="5" width="8" style="42" hidden="1" customWidth="1"/>
    <col min="6" max="19" width="8" style="42" customWidth="1"/>
    <col min="20" max="27" width="6.85546875" style="42" customWidth="1"/>
    <col min="28" max="16384" width="12.42578125" style="42"/>
  </cols>
  <sheetData>
    <row r="1" spans="1:29" ht="31.5" x14ac:dyDescent="0.25">
      <c r="B1" s="46" t="s">
        <v>35</v>
      </c>
      <c r="E1" s="42" t="s">
        <v>25</v>
      </c>
      <c r="F1" s="42" t="s">
        <v>26</v>
      </c>
      <c r="G1" s="42" t="s">
        <v>27</v>
      </c>
      <c r="H1" s="42" t="s">
        <v>28</v>
      </c>
      <c r="I1" s="42" t="s">
        <v>29</v>
      </c>
      <c r="J1" s="42" t="s">
        <v>36</v>
      </c>
      <c r="K1" s="42" t="s">
        <v>30</v>
      </c>
      <c r="L1" s="42" t="s">
        <v>31</v>
      </c>
      <c r="M1" s="42" t="s">
        <v>32</v>
      </c>
      <c r="N1" s="42" t="s">
        <v>33</v>
      </c>
      <c r="O1" s="42" t="s">
        <v>37</v>
      </c>
      <c r="P1" s="42" t="s">
        <v>34</v>
      </c>
      <c r="Q1" s="42" t="s">
        <v>38</v>
      </c>
      <c r="R1" s="42" t="s">
        <v>39</v>
      </c>
      <c r="S1" s="42" t="s">
        <v>40</v>
      </c>
      <c r="T1" s="42" t="s">
        <v>41</v>
      </c>
      <c r="U1" s="42" t="s">
        <v>42</v>
      </c>
      <c r="V1" s="42" t="s">
        <v>43</v>
      </c>
      <c r="W1" s="42" t="s">
        <v>44</v>
      </c>
      <c r="X1" s="42" t="s">
        <v>45</v>
      </c>
      <c r="Y1" s="42" t="s">
        <v>46</v>
      </c>
      <c r="Z1" s="42" t="s">
        <v>47</v>
      </c>
      <c r="AA1" s="42" t="s">
        <v>48</v>
      </c>
      <c r="AB1" s="42" t="s">
        <v>49</v>
      </c>
      <c r="AC1" s="42" t="s">
        <v>50</v>
      </c>
    </row>
    <row r="2" spans="1:29" s="43" customFormat="1" x14ac:dyDescent="0.25">
      <c r="C2" s="47"/>
      <c r="E2" s="48">
        <f>+D3</f>
        <v>0.65</v>
      </c>
      <c r="F2" s="48">
        <f>+D4</f>
        <v>0.4</v>
      </c>
      <c r="G2" s="48">
        <f>+D5</f>
        <v>0.25</v>
      </c>
      <c r="H2" s="48">
        <f>+D6</f>
        <v>0.19999999999999996</v>
      </c>
      <c r="I2" s="48">
        <f>+D8</f>
        <v>0.44999999999999996</v>
      </c>
      <c r="J2" s="48">
        <f>+D9</f>
        <v>0.7</v>
      </c>
      <c r="K2" s="48">
        <f>+D10</f>
        <v>0.45999999999999996</v>
      </c>
      <c r="L2" s="48">
        <f>+D11</f>
        <v>0.51</v>
      </c>
      <c r="M2" s="48">
        <f>+D12</f>
        <v>0.66999999999999993</v>
      </c>
      <c r="N2" s="48">
        <f>+D13</f>
        <v>0.6</v>
      </c>
      <c r="O2" s="48">
        <f>+D14</f>
        <v>0.43000000000000005</v>
      </c>
      <c r="P2" s="48">
        <f>+D15</f>
        <v>0.69</v>
      </c>
      <c r="Q2" s="48">
        <f>+D16</f>
        <v>0.69</v>
      </c>
      <c r="R2" s="48">
        <f>+D17</f>
        <v>0.87</v>
      </c>
      <c r="S2" s="48">
        <f>+D18</f>
        <v>0.87</v>
      </c>
      <c r="T2" s="48">
        <f>+D19</f>
        <v>0.85</v>
      </c>
      <c r="U2" s="48">
        <f>+D20</f>
        <v>0.7</v>
      </c>
      <c r="V2" s="48">
        <f>+D21</f>
        <v>0.8</v>
      </c>
      <c r="W2" s="48">
        <f>+D22</f>
        <v>0.63</v>
      </c>
      <c r="X2" s="48">
        <f>+D23</f>
        <v>0.63</v>
      </c>
      <c r="Y2" s="48">
        <f>+D24</f>
        <v>0.5</v>
      </c>
      <c r="Z2" s="48">
        <f>+D25</f>
        <v>0.5</v>
      </c>
    </row>
    <row r="3" spans="1:29" x14ac:dyDescent="0.25">
      <c r="A3" s="42" t="s">
        <v>25</v>
      </c>
      <c r="B3" s="42" t="s">
        <v>67</v>
      </c>
      <c r="C3" s="44">
        <v>0.35</v>
      </c>
      <c r="D3" s="48">
        <f>+(1-C3)</f>
        <v>0.65</v>
      </c>
      <c r="E3" s="49">
        <f>1-($D$3*E2)</f>
        <v>0.5774999999999999</v>
      </c>
      <c r="F3" s="50">
        <f t="shared" ref="F3:Z3" si="0">1-($D$3*F2)</f>
        <v>0.74</v>
      </c>
      <c r="G3" s="50">
        <f t="shared" si="0"/>
        <v>0.83750000000000002</v>
      </c>
      <c r="H3" s="50">
        <f t="shared" si="0"/>
        <v>0.87</v>
      </c>
      <c r="I3" s="51">
        <f t="shared" si="0"/>
        <v>0.70750000000000002</v>
      </c>
      <c r="J3" s="51">
        <f t="shared" si="0"/>
        <v>0.54500000000000004</v>
      </c>
      <c r="K3" s="50">
        <f t="shared" si="0"/>
        <v>0.70100000000000007</v>
      </c>
      <c r="L3" s="52">
        <f t="shared" si="0"/>
        <v>0.66849999999999998</v>
      </c>
      <c r="M3" s="50">
        <f t="shared" si="0"/>
        <v>0.5645</v>
      </c>
      <c r="N3" s="52">
        <f t="shared" si="0"/>
        <v>0.61</v>
      </c>
      <c r="O3" s="52">
        <f t="shared" si="0"/>
        <v>0.72049999999999992</v>
      </c>
      <c r="P3" s="52">
        <f t="shared" si="0"/>
        <v>0.5515000000000001</v>
      </c>
      <c r="Q3" s="53">
        <f t="shared" si="0"/>
        <v>0.5515000000000001</v>
      </c>
      <c r="R3" s="52">
        <f t="shared" si="0"/>
        <v>0.4345</v>
      </c>
      <c r="S3" s="52">
        <f t="shared" si="0"/>
        <v>0.4345</v>
      </c>
      <c r="T3" s="50">
        <f t="shared" si="0"/>
        <v>0.44750000000000001</v>
      </c>
      <c r="U3" s="52">
        <f t="shared" si="0"/>
        <v>0.54500000000000004</v>
      </c>
      <c r="V3" s="52">
        <f t="shared" si="0"/>
        <v>0.48</v>
      </c>
      <c r="W3" s="52">
        <f t="shared" si="0"/>
        <v>0.59050000000000002</v>
      </c>
      <c r="X3" s="52">
        <f t="shared" si="0"/>
        <v>0.59050000000000002</v>
      </c>
      <c r="Y3" s="53">
        <f t="shared" si="0"/>
        <v>0.67500000000000004</v>
      </c>
      <c r="Z3" s="53">
        <f t="shared" si="0"/>
        <v>0.67500000000000004</v>
      </c>
    </row>
    <row r="4" spans="1:29" x14ac:dyDescent="0.25">
      <c r="A4" s="42" t="s">
        <v>26</v>
      </c>
      <c r="B4" s="42" t="s">
        <v>51</v>
      </c>
      <c r="C4" s="44">
        <v>0.6</v>
      </c>
      <c r="D4" s="48">
        <f t="shared" ref="D4:D25" si="1">+(1-C4)</f>
        <v>0.4</v>
      </c>
      <c r="E4" s="50">
        <f>1-+$D$4*E2</f>
        <v>0.74</v>
      </c>
      <c r="F4" s="49">
        <f t="shared" ref="F4:Z4" si="2">1-+$D$4*F2</f>
        <v>0.84</v>
      </c>
      <c r="G4" s="50">
        <f t="shared" si="2"/>
        <v>0.9</v>
      </c>
      <c r="H4" s="50">
        <f t="shared" si="2"/>
        <v>0.92</v>
      </c>
      <c r="I4" s="50">
        <f t="shared" si="2"/>
        <v>0.82000000000000006</v>
      </c>
      <c r="J4" s="50">
        <f t="shared" si="2"/>
        <v>0.72</v>
      </c>
      <c r="K4" s="50">
        <f t="shared" si="2"/>
        <v>0.81600000000000006</v>
      </c>
      <c r="L4" s="52">
        <f t="shared" si="2"/>
        <v>0.79600000000000004</v>
      </c>
      <c r="M4" s="50">
        <f t="shared" si="2"/>
        <v>0.73199999999999998</v>
      </c>
      <c r="N4" s="52">
        <f t="shared" si="2"/>
        <v>0.76</v>
      </c>
      <c r="O4" s="52">
        <f t="shared" si="2"/>
        <v>0.82799999999999996</v>
      </c>
      <c r="P4" s="50">
        <f t="shared" si="2"/>
        <v>0.72399999999999998</v>
      </c>
      <c r="Q4" s="50">
        <f t="shared" si="2"/>
        <v>0.72399999999999998</v>
      </c>
      <c r="R4" s="50">
        <f t="shared" si="2"/>
        <v>0.65199999999999991</v>
      </c>
      <c r="S4" s="50">
        <f t="shared" si="2"/>
        <v>0.65199999999999991</v>
      </c>
      <c r="T4" s="50">
        <f t="shared" si="2"/>
        <v>0.65999999999999992</v>
      </c>
      <c r="U4" s="52">
        <f t="shared" si="2"/>
        <v>0.72</v>
      </c>
      <c r="V4" s="52">
        <f t="shared" si="2"/>
        <v>0.67999999999999994</v>
      </c>
      <c r="W4" s="50">
        <f t="shared" si="2"/>
        <v>0.748</v>
      </c>
      <c r="X4" s="50">
        <f t="shared" si="2"/>
        <v>0.748</v>
      </c>
      <c r="Y4" s="50">
        <f t="shared" si="2"/>
        <v>0.8</v>
      </c>
      <c r="Z4" s="50">
        <f t="shared" si="2"/>
        <v>0.8</v>
      </c>
    </row>
    <row r="5" spans="1:29" x14ac:dyDescent="0.25">
      <c r="A5" s="42" t="s">
        <v>27</v>
      </c>
      <c r="B5" s="42" t="s">
        <v>52</v>
      </c>
      <c r="C5" s="44">
        <v>0.75</v>
      </c>
      <c r="D5" s="48">
        <f t="shared" si="1"/>
        <v>0.25</v>
      </c>
      <c r="E5" s="50">
        <f>1-+$D$5*E2</f>
        <v>0.83750000000000002</v>
      </c>
      <c r="F5" s="50">
        <f t="shared" ref="F5:Z5" si="3">1-+$D$5*F2</f>
        <v>0.9</v>
      </c>
      <c r="G5" s="49">
        <f t="shared" si="3"/>
        <v>0.9375</v>
      </c>
      <c r="H5" s="50">
        <f t="shared" si="3"/>
        <v>0.95</v>
      </c>
      <c r="I5" s="50">
        <f t="shared" si="3"/>
        <v>0.88749999999999996</v>
      </c>
      <c r="J5" s="50">
        <f t="shared" si="3"/>
        <v>0.82499999999999996</v>
      </c>
      <c r="K5" s="50">
        <f t="shared" si="3"/>
        <v>0.88500000000000001</v>
      </c>
      <c r="L5" s="52">
        <f t="shared" si="3"/>
        <v>0.87250000000000005</v>
      </c>
      <c r="M5" s="50">
        <f t="shared" si="3"/>
        <v>0.83250000000000002</v>
      </c>
      <c r="N5" s="52">
        <f t="shared" si="3"/>
        <v>0.85</v>
      </c>
      <c r="O5" s="52">
        <f t="shared" si="3"/>
        <v>0.89249999999999996</v>
      </c>
      <c r="P5" s="50">
        <f t="shared" si="3"/>
        <v>0.82750000000000001</v>
      </c>
      <c r="Q5" s="50">
        <f t="shared" si="3"/>
        <v>0.82750000000000001</v>
      </c>
      <c r="R5" s="50">
        <f t="shared" si="3"/>
        <v>0.78249999999999997</v>
      </c>
      <c r="S5" s="50">
        <f t="shared" si="3"/>
        <v>0.78249999999999997</v>
      </c>
      <c r="T5" s="50">
        <f t="shared" si="3"/>
        <v>0.78749999999999998</v>
      </c>
      <c r="U5" s="52">
        <f t="shared" si="3"/>
        <v>0.82499999999999996</v>
      </c>
      <c r="V5" s="52">
        <f t="shared" si="3"/>
        <v>0.8</v>
      </c>
      <c r="W5" s="50">
        <f t="shared" si="3"/>
        <v>0.84250000000000003</v>
      </c>
      <c r="X5" s="50">
        <f t="shared" si="3"/>
        <v>0.84250000000000003</v>
      </c>
      <c r="Y5" s="50">
        <f t="shared" si="3"/>
        <v>0.875</v>
      </c>
      <c r="Z5" s="50">
        <f t="shared" si="3"/>
        <v>0.875</v>
      </c>
    </row>
    <row r="6" spans="1:29" x14ac:dyDescent="0.25">
      <c r="A6" s="42" t="s">
        <v>28</v>
      </c>
      <c r="B6" s="42" t="s">
        <v>53</v>
      </c>
      <c r="C6" s="44">
        <v>0.8</v>
      </c>
      <c r="D6" s="48">
        <f t="shared" si="1"/>
        <v>0.19999999999999996</v>
      </c>
      <c r="E6" s="50">
        <f>1-+$D$6*E2</f>
        <v>0.87</v>
      </c>
      <c r="F6" s="50">
        <f t="shared" ref="F6:Z6" si="4">1-+$D$6*F2</f>
        <v>0.92</v>
      </c>
      <c r="G6" s="50">
        <f t="shared" si="4"/>
        <v>0.95</v>
      </c>
      <c r="H6" s="49">
        <f t="shared" si="4"/>
        <v>0.96</v>
      </c>
      <c r="I6" s="50">
        <f t="shared" si="4"/>
        <v>0.91</v>
      </c>
      <c r="J6" s="50">
        <f t="shared" si="4"/>
        <v>0.8600000000000001</v>
      </c>
      <c r="K6" s="50">
        <f t="shared" si="4"/>
        <v>0.90800000000000003</v>
      </c>
      <c r="L6" s="52">
        <f t="shared" si="4"/>
        <v>0.89800000000000002</v>
      </c>
      <c r="M6" s="50">
        <f t="shared" si="4"/>
        <v>0.8660000000000001</v>
      </c>
      <c r="N6" s="52">
        <f t="shared" si="4"/>
        <v>0.88</v>
      </c>
      <c r="O6" s="52">
        <f t="shared" si="4"/>
        <v>0.91400000000000003</v>
      </c>
      <c r="P6" s="50">
        <f t="shared" si="4"/>
        <v>0.8620000000000001</v>
      </c>
      <c r="Q6" s="50">
        <f t="shared" si="4"/>
        <v>0.8620000000000001</v>
      </c>
      <c r="R6" s="50">
        <f t="shared" si="4"/>
        <v>0.82600000000000007</v>
      </c>
      <c r="S6" s="50">
        <f t="shared" si="4"/>
        <v>0.82600000000000007</v>
      </c>
      <c r="T6" s="50">
        <f t="shared" si="4"/>
        <v>0.83000000000000007</v>
      </c>
      <c r="U6" s="52">
        <f t="shared" si="4"/>
        <v>0.8600000000000001</v>
      </c>
      <c r="V6" s="52">
        <f t="shared" si="4"/>
        <v>0.84000000000000008</v>
      </c>
      <c r="W6" s="50">
        <f t="shared" si="4"/>
        <v>0.874</v>
      </c>
      <c r="X6" s="50">
        <f t="shared" si="4"/>
        <v>0.874</v>
      </c>
      <c r="Y6" s="50">
        <f t="shared" si="4"/>
        <v>0.9</v>
      </c>
      <c r="Z6" s="50">
        <f t="shared" si="4"/>
        <v>0.9</v>
      </c>
    </row>
    <row r="7" spans="1:29" x14ac:dyDescent="0.25">
      <c r="B7" s="42" t="s">
        <v>98</v>
      </c>
      <c r="D7" s="48"/>
      <c r="E7" s="50"/>
      <c r="F7" s="50"/>
      <c r="G7" s="50"/>
      <c r="H7" s="49"/>
      <c r="I7" s="50"/>
      <c r="J7" s="50"/>
      <c r="K7" s="50"/>
      <c r="L7" s="52"/>
      <c r="M7" s="50"/>
      <c r="N7" s="52"/>
      <c r="O7" s="52"/>
      <c r="P7" s="50"/>
      <c r="Q7" s="50"/>
      <c r="R7" s="50"/>
      <c r="S7" s="50"/>
      <c r="T7" s="50"/>
      <c r="U7" s="52"/>
      <c r="V7" s="52"/>
      <c r="W7" s="50"/>
      <c r="X7" s="50"/>
      <c r="Y7" s="50"/>
      <c r="Z7" s="50"/>
    </row>
    <row r="8" spans="1:29" x14ac:dyDescent="0.25">
      <c r="A8" s="42" t="s">
        <v>29</v>
      </c>
      <c r="B8" s="42" t="s">
        <v>99</v>
      </c>
      <c r="C8" s="44">
        <v>0.55000000000000004</v>
      </c>
      <c r="D8" s="48">
        <f t="shared" si="1"/>
        <v>0.44999999999999996</v>
      </c>
      <c r="E8" s="51">
        <f>1-+$D$8*E2</f>
        <v>0.70750000000000002</v>
      </c>
      <c r="F8" s="50">
        <f t="shared" ref="F8:Z8" si="5">1-+$D$8*F2</f>
        <v>0.82000000000000006</v>
      </c>
      <c r="G8" s="50">
        <f t="shared" si="5"/>
        <v>0.88749999999999996</v>
      </c>
      <c r="H8" s="50">
        <f t="shared" si="5"/>
        <v>0.91</v>
      </c>
      <c r="I8" s="49">
        <f t="shared" si="5"/>
        <v>0.7975000000000001</v>
      </c>
      <c r="J8" s="52">
        <f t="shared" si="5"/>
        <v>0.68500000000000005</v>
      </c>
      <c r="K8" s="50">
        <f t="shared" si="5"/>
        <v>0.79300000000000004</v>
      </c>
      <c r="L8" s="50">
        <f t="shared" si="5"/>
        <v>0.77049999999999996</v>
      </c>
      <c r="M8" s="53">
        <f t="shared" si="5"/>
        <v>0.69850000000000012</v>
      </c>
      <c r="N8" s="53">
        <f t="shared" si="5"/>
        <v>0.73</v>
      </c>
      <c r="O8" s="53">
        <f t="shared" si="5"/>
        <v>0.80649999999999999</v>
      </c>
      <c r="P8" s="54">
        <f t="shared" si="5"/>
        <v>0.6895</v>
      </c>
      <c r="Q8" s="54">
        <f t="shared" si="5"/>
        <v>0.6895</v>
      </c>
      <c r="R8" s="54">
        <f t="shared" si="5"/>
        <v>0.60850000000000004</v>
      </c>
      <c r="S8" s="54">
        <f t="shared" si="5"/>
        <v>0.60850000000000004</v>
      </c>
      <c r="T8" s="50">
        <f t="shared" si="5"/>
        <v>0.61750000000000005</v>
      </c>
      <c r="U8" s="52">
        <f t="shared" si="5"/>
        <v>0.68500000000000005</v>
      </c>
      <c r="V8" s="52">
        <f t="shared" si="5"/>
        <v>0.64</v>
      </c>
      <c r="W8" s="54">
        <f t="shared" si="5"/>
        <v>0.71650000000000003</v>
      </c>
      <c r="X8" s="54">
        <f t="shared" si="5"/>
        <v>0.71650000000000003</v>
      </c>
      <c r="Y8" s="52">
        <f t="shared" si="5"/>
        <v>0.77500000000000002</v>
      </c>
      <c r="Z8" s="54">
        <f t="shared" si="5"/>
        <v>0.77500000000000002</v>
      </c>
    </row>
    <row r="9" spans="1:29" x14ac:dyDescent="0.25">
      <c r="A9" s="42" t="s">
        <v>36</v>
      </c>
      <c r="B9" s="42" t="s">
        <v>100</v>
      </c>
      <c r="C9" s="44">
        <v>0.3</v>
      </c>
      <c r="D9" s="48">
        <f t="shared" si="1"/>
        <v>0.7</v>
      </c>
      <c r="E9" s="51">
        <f>1-+$D$9*E2</f>
        <v>0.54500000000000004</v>
      </c>
      <c r="F9" s="50">
        <f t="shared" ref="F9:Z9" si="6">1-+$D$9*F2</f>
        <v>0.72</v>
      </c>
      <c r="G9" s="50">
        <f t="shared" si="6"/>
        <v>0.82499999999999996</v>
      </c>
      <c r="H9" s="50">
        <f t="shared" si="6"/>
        <v>0.8600000000000001</v>
      </c>
      <c r="I9" s="50">
        <f t="shared" si="6"/>
        <v>0.68500000000000005</v>
      </c>
      <c r="J9" s="49">
        <f t="shared" si="6"/>
        <v>0.51</v>
      </c>
      <c r="K9" s="50">
        <f t="shared" si="6"/>
        <v>0.67800000000000005</v>
      </c>
      <c r="L9" s="50">
        <f t="shared" si="6"/>
        <v>0.64300000000000002</v>
      </c>
      <c r="M9" s="52">
        <f t="shared" si="6"/>
        <v>0.53100000000000014</v>
      </c>
      <c r="N9" s="52">
        <f t="shared" si="6"/>
        <v>0.58000000000000007</v>
      </c>
      <c r="O9" s="52">
        <f t="shared" si="6"/>
        <v>0.69900000000000007</v>
      </c>
      <c r="P9" s="54">
        <f t="shared" si="6"/>
        <v>0.51700000000000013</v>
      </c>
      <c r="Q9" s="54">
        <f t="shared" si="6"/>
        <v>0.51700000000000013</v>
      </c>
      <c r="R9" s="54">
        <f t="shared" si="6"/>
        <v>0.39100000000000001</v>
      </c>
      <c r="S9" s="54">
        <f t="shared" si="6"/>
        <v>0.39100000000000001</v>
      </c>
      <c r="T9" s="50">
        <f t="shared" si="6"/>
        <v>0.40500000000000003</v>
      </c>
      <c r="U9" s="52">
        <f t="shared" si="6"/>
        <v>0.51</v>
      </c>
      <c r="V9" s="52">
        <f t="shared" si="6"/>
        <v>0.44000000000000006</v>
      </c>
      <c r="W9" s="54">
        <f t="shared" si="6"/>
        <v>0.55900000000000005</v>
      </c>
      <c r="X9" s="54">
        <f t="shared" si="6"/>
        <v>0.55900000000000005</v>
      </c>
      <c r="Y9" s="54">
        <f t="shared" si="6"/>
        <v>0.65</v>
      </c>
      <c r="Z9" s="54">
        <f t="shared" si="6"/>
        <v>0.65</v>
      </c>
    </row>
    <row r="10" spans="1:29" x14ac:dyDescent="0.25">
      <c r="A10" s="42" t="s">
        <v>30</v>
      </c>
      <c r="B10" s="42" t="s">
        <v>101</v>
      </c>
      <c r="C10" s="44">
        <v>0.54</v>
      </c>
      <c r="D10" s="48">
        <f t="shared" si="1"/>
        <v>0.45999999999999996</v>
      </c>
      <c r="E10" s="50">
        <f>1-+$D$10*E2</f>
        <v>0.70100000000000007</v>
      </c>
      <c r="F10" s="50">
        <f t="shared" ref="F10:Z10" si="7">1-+$D$10*F2</f>
        <v>0.81600000000000006</v>
      </c>
      <c r="G10" s="50">
        <f t="shared" si="7"/>
        <v>0.88500000000000001</v>
      </c>
      <c r="H10" s="50">
        <f t="shared" si="7"/>
        <v>0.90800000000000003</v>
      </c>
      <c r="I10" s="50">
        <f t="shared" si="7"/>
        <v>0.79300000000000004</v>
      </c>
      <c r="J10" s="50">
        <f t="shared" si="7"/>
        <v>0.67800000000000005</v>
      </c>
      <c r="K10" s="49">
        <f t="shared" si="7"/>
        <v>0.78839999999999999</v>
      </c>
      <c r="L10" s="50">
        <f t="shared" si="7"/>
        <v>0.76540000000000008</v>
      </c>
      <c r="M10" s="50">
        <f t="shared" si="7"/>
        <v>0.69180000000000008</v>
      </c>
      <c r="N10" s="50">
        <f t="shared" si="7"/>
        <v>0.72399999999999998</v>
      </c>
      <c r="O10" s="50">
        <f t="shared" si="7"/>
        <v>0.80220000000000002</v>
      </c>
      <c r="P10" s="50">
        <f t="shared" si="7"/>
        <v>0.6826000000000001</v>
      </c>
      <c r="Q10" s="50">
        <f t="shared" si="7"/>
        <v>0.6826000000000001</v>
      </c>
      <c r="R10" s="50">
        <f t="shared" si="7"/>
        <v>0.59980000000000011</v>
      </c>
      <c r="S10" s="50">
        <f t="shared" si="7"/>
        <v>0.59980000000000011</v>
      </c>
      <c r="T10" s="50">
        <f t="shared" si="7"/>
        <v>0.60899999999999999</v>
      </c>
      <c r="U10" s="50">
        <f t="shared" si="7"/>
        <v>0.67800000000000005</v>
      </c>
      <c r="V10" s="50">
        <f t="shared" si="7"/>
        <v>0.63200000000000001</v>
      </c>
      <c r="W10" s="50">
        <f t="shared" si="7"/>
        <v>0.71019999999999994</v>
      </c>
      <c r="X10" s="50">
        <f t="shared" si="7"/>
        <v>0.71019999999999994</v>
      </c>
      <c r="Y10" s="50">
        <f t="shared" si="7"/>
        <v>0.77</v>
      </c>
      <c r="Z10" s="50">
        <f t="shared" si="7"/>
        <v>0.77</v>
      </c>
    </row>
    <row r="11" spans="1:29" x14ac:dyDescent="0.25">
      <c r="A11" s="42" t="s">
        <v>31</v>
      </c>
      <c r="B11" s="42" t="s">
        <v>55</v>
      </c>
      <c r="C11" s="44">
        <v>0.49</v>
      </c>
      <c r="D11" s="48">
        <f t="shared" si="1"/>
        <v>0.51</v>
      </c>
      <c r="E11" s="52">
        <f>1-+$D$11*E2</f>
        <v>0.66849999999999998</v>
      </c>
      <c r="F11" s="52">
        <f t="shared" ref="F11:Z11" si="8">1-+$D$11*F2</f>
        <v>0.79600000000000004</v>
      </c>
      <c r="G11" s="52">
        <f t="shared" si="8"/>
        <v>0.87250000000000005</v>
      </c>
      <c r="H11" s="52">
        <f t="shared" si="8"/>
        <v>0.89800000000000002</v>
      </c>
      <c r="I11" s="50">
        <f t="shared" si="8"/>
        <v>0.77049999999999996</v>
      </c>
      <c r="J11" s="50">
        <f t="shared" si="8"/>
        <v>0.64300000000000002</v>
      </c>
      <c r="K11" s="50">
        <f t="shared" si="8"/>
        <v>0.76540000000000008</v>
      </c>
      <c r="L11" s="49">
        <f t="shared" si="8"/>
        <v>0.7399</v>
      </c>
      <c r="M11" s="52">
        <f t="shared" si="8"/>
        <v>0.65830000000000011</v>
      </c>
      <c r="N11" s="52">
        <f t="shared" si="8"/>
        <v>0.69399999999999995</v>
      </c>
      <c r="O11" s="52">
        <f t="shared" si="8"/>
        <v>0.78069999999999995</v>
      </c>
      <c r="P11" s="52">
        <f t="shared" si="8"/>
        <v>0.64810000000000001</v>
      </c>
      <c r="Q11" s="52">
        <f t="shared" si="8"/>
        <v>0.64810000000000001</v>
      </c>
      <c r="R11" s="52">
        <f t="shared" si="8"/>
        <v>0.55630000000000002</v>
      </c>
      <c r="S11" s="52">
        <f t="shared" si="8"/>
        <v>0.55630000000000002</v>
      </c>
      <c r="T11" s="50">
        <f t="shared" si="8"/>
        <v>0.5665</v>
      </c>
      <c r="U11" s="50">
        <f t="shared" si="8"/>
        <v>0.64300000000000002</v>
      </c>
      <c r="V11" s="50">
        <f t="shared" si="8"/>
        <v>0.59199999999999997</v>
      </c>
      <c r="W11" s="52">
        <f t="shared" si="8"/>
        <v>0.67869999999999997</v>
      </c>
      <c r="X11" s="52">
        <f t="shared" si="8"/>
        <v>0.67869999999999997</v>
      </c>
      <c r="Y11" s="52">
        <f t="shared" si="8"/>
        <v>0.745</v>
      </c>
      <c r="Z11" s="52">
        <f t="shared" si="8"/>
        <v>0.745</v>
      </c>
    </row>
    <row r="12" spans="1:29" x14ac:dyDescent="0.25">
      <c r="A12" s="42" t="s">
        <v>32</v>
      </c>
      <c r="B12" s="42" t="s">
        <v>56</v>
      </c>
      <c r="C12" s="44">
        <v>0.33</v>
      </c>
      <c r="D12" s="48">
        <f t="shared" si="1"/>
        <v>0.66999999999999993</v>
      </c>
      <c r="E12" s="50">
        <f>1-+$D$12*E2</f>
        <v>0.5645</v>
      </c>
      <c r="F12" s="50">
        <f t="shared" ref="F12:Z12" si="9">1-+$D$12*F2</f>
        <v>0.73199999999999998</v>
      </c>
      <c r="G12" s="50">
        <f t="shared" si="9"/>
        <v>0.83250000000000002</v>
      </c>
      <c r="H12" s="50">
        <f t="shared" si="9"/>
        <v>0.8660000000000001</v>
      </c>
      <c r="I12" s="53">
        <f t="shared" si="9"/>
        <v>0.69850000000000012</v>
      </c>
      <c r="J12" s="52">
        <f t="shared" si="9"/>
        <v>0.53100000000000014</v>
      </c>
      <c r="K12" s="50">
        <f t="shared" si="9"/>
        <v>0.69180000000000008</v>
      </c>
      <c r="L12" s="52">
        <f t="shared" si="9"/>
        <v>0.65830000000000011</v>
      </c>
      <c r="M12" s="49">
        <f t="shared" si="9"/>
        <v>0.55110000000000015</v>
      </c>
      <c r="N12" s="52">
        <f t="shared" si="9"/>
        <v>0.59800000000000009</v>
      </c>
      <c r="O12" s="52">
        <f t="shared" si="9"/>
        <v>0.71189999999999998</v>
      </c>
      <c r="P12" s="53">
        <f t="shared" si="9"/>
        <v>0.53770000000000007</v>
      </c>
      <c r="Q12" s="53">
        <f t="shared" si="9"/>
        <v>0.53770000000000007</v>
      </c>
      <c r="R12" s="52">
        <f t="shared" si="9"/>
        <v>0.41710000000000003</v>
      </c>
      <c r="S12" s="52">
        <f t="shared" si="9"/>
        <v>0.41710000000000003</v>
      </c>
      <c r="T12" s="50">
        <f t="shared" si="9"/>
        <v>0.4305000000000001</v>
      </c>
      <c r="U12" s="52">
        <f t="shared" si="9"/>
        <v>0.53100000000000014</v>
      </c>
      <c r="V12" s="52">
        <f t="shared" si="9"/>
        <v>0.46400000000000008</v>
      </c>
      <c r="W12" s="52">
        <f t="shared" si="9"/>
        <v>0.57790000000000008</v>
      </c>
      <c r="X12" s="52">
        <f t="shared" si="9"/>
        <v>0.57790000000000008</v>
      </c>
      <c r="Y12" s="52">
        <f t="shared" si="9"/>
        <v>0.66500000000000004</v>
      </c>
      <c r="Z12" s="53">
        <f t="shared" si="9"/>
        <v>0.66500000000000004</v>
      </c>
    </row>
    <row r="13" spans="1:29" x14ac:dyDescent="0.25">
      <c r="A13" s="42" t="s">
        <v>33</v>
      </c>
      <c r="B13" s="42" t="s">
        <v>57</v>
      </c>
      <c r="C13" s="44">
        <v>0.4</v>
      </c>
      <c r="D13" s="48">
        <f t="shared" si="1"/>
        <v>0.6</v>
      </c>
      <c r="E13" s="52">
        <f>1-+$D$13*E2</f>
        <v>0.61</v>
      </c>
      <c r="F13" s="52">
        <f t="shared" ref="F13:Z13" si="10">1-+$D$13*F2</f>
        <v>0.76</v>
      </c>
      <c r="G13" s="52">
        <f t="shared" si="10"/>
        <v>0.85</v>
      </c>
      <c r="H13" s="52">
        <f t="shared" si="10"/>
        <v>0.88</v>
      </c>
      <c r="I13" s="53">
        <f t="shared" si="10"/>
        <v>0.73</v>
      </c>
      <c r="J13" s="52">
        <f t="shared" si="10"/>
        <v>0.58000000000000007</v>
      </c>
      <c r="K13" s="50">
        <f t="shared" si="10"/>
        <v>0.72399999999999998</v>
      </c>
      <c r="L13" s="52">
        <f t="shared" si="10"/>
        <v>0.69399999999999995</v>
      </c>
      <c r="M13" s="52">
        <f t="shared" si="10"/>
        <v>0.59800000000000009</v>
      </c>
      <c r="N13" s="49">
        <f t="shared" si="10"/>
        <v>0.64</v>
      </c>
      <c r="O13" s="52">
        <f t="shared" si="10"/>
        <v>0.74199999999999999</v>
      </c>
      <c r="P13" s="52">
        <f t="shared" si="10"/>
        <v>0.58600000000000008</v>
      </c>
      <c r="Q13" s="53">
        <f t="shared" si="10"/>
        <v>0.58600000000000008</v>
      </c>
      <c r="R13" s="52">
        <f t="shared" si="10"/>
        <v>0.47799999999999998</v>
      </c>
      <c r="S13" s="52">
        <f t="shared" si="10"/>
        <v>0.47799999999999998</v>
      </c>
      <c r="T13" s="50">
        <f t="shared" si="10"/>
        <v>0.49</v>
      </c>
      <c r="U13" s="52">
        <f t="shared" si="10"/>
        <v>0.58000000000000007</v>
      </c>
      <c r="V13" s="52">
        <f t="shared" si="10"/>
        <v>0.52</v>
      </c>
      <c r="W13" s="52">
        <f t="shared" si="10"/>
        <v>0.622</v>
      </c>
      <c r="X13" s="52">
        <f t="shared" si="10"/>
        <v>0.622</v>
      </c>
      <c r="Y13" s="52">
        <f t="shared" si="10"/>
        <v>0.7</v>
      </c>
      <c r="Z13" s="52">
        <f t="shared" si="10"/>
        <v>0.7</v>
      </c>
    </row>
    <row r="14" spans="1:29" x14ac:dyDescent="0.25">
      <c r="A14" s="42" t="s">
        <v>37</v>
      </c>
      <c r="B14" s="42" t="s">
        <v>23</v>
      </c>
      <c r="C14" s="44">
        <v>0.56999999999999995</v>
      </c>
      <c r="D14" s="48">
        <f t="shared" si="1"/>
        <v>0.43000000000000005</v>
      </c>
      <c r="E14" s="52">
        <f>1-+$D$14*E2</f>
        <v>0.72049999999999992</v>
      </c>
      <c r="F14" s="52">
        <f t="shared" ref="F14:Z14" si="11">1-+$D$14*F2</f>
        <v>0.82799999999999996</v>
      </c>
      <c r="G14" s="52">
        <f t="shared" si="11"/>
        <v>0.89249999999999996</v>
      </c>
      <c r="H14" s="52">
        <f t="shared" si="11"/>
        <v>0.91400000000000003</v>
      </c>
      <c r="I14" s="53">
        <f t="shared" si="11"/>
        <v>0.80649999999999999</v>
      </c>
      <c r="J14" s="52">
        <f t="shared" si="11"/>
        <v>0.69900000000000007</v>
      </c>
      <c r="K14" s="50">
        <f t="shared" si="11"/>
        <v>0.80220000000000002</v>
      </c>
      <c r="L14" s="52">
        <f t="shared" si="11"/>
        <v>0.78069999999999995</v>
      </c>
      <c r="M14" s="52">
        <f t="shared" si="11"/>
        <v>0.71189999999999998</v>
      </c>
      <c r="N14" s="52">
        <f t="shared" si="11"/>
        <v>0.74199999999999999</v>
      </c>
      <c r="O14" s="49">
        <f t="shared" si="11"/>
        <v>0.81509999999999994</v>
      </c>
      <c r="P14" s="53">
        <f t="shared" si="11"/>
        <v>0.70330000000000004</v>
      </c>
      <c r="Q14" s="53">
        <f t="shared" si="11"/>
        <v>0.70330000000000004</v>
      </c>
      <c r="R14" s="52">
        <f t="shared" si="11"/>
        <v>0.6258999999999999</v>
      </c>
      <c r="S14" s="53">
        <f t="shared" si="11"/>
        <v>0.6258999999999999</v>
      </c>
      <c r="T14" s="50">
        <f t="shared" si="11"/>
        <v>0.63449999999999995</v>
      </c>
      <c r="U14" s="52">
        <f t="shared" si="11"/>
        <v>0.69900000000000007</v>
      </c>
      <c r="V14" s="52">
        <f t="shared" si="11"/>
        <v>0.65599999999999992</v>
      </c>
      <c r="W14" s="52">
        <f t="shared" si="11"/>
        <v>0.72909999999999997</v>
      </c>
      <c r="X14" s="52">
        <f t="shared" si="11"/>
        <v>0.72909999999999997</v>
      </c>
      <c r="Y14" s="52">
        <f t="shared" si="11"/>
        <v>0.78499999999999992</v>
      </c>
      <c r="Z14" s="53">
        <f t="shared" si="11"/>
        <v>0.78499999999999992</v>
      </c>
    </row>
    <row r="15" spans="1:29" x14ac:dyDescent="0.25">
      <c r="A15" s="42" t="s">
        <v>34</v>
      </c>
      <c r="B15" s="42" t="s">
        <v>68</v>
      </c>
      <c r="C15" s="44">
        <v>0.31</v>
      </c>
      <c r="D15" s="48">
        <f t="shared" si="1"/>
        <v>0.69</v>
      </c>
      <c r="E15" s="52">
        <f>1-+$D$15*E2</f>
        <v>0.5515000000000001</v>
      </c>
      <c r="F15" s="50">
        <f t="shared" ref="F15:Z15" si="12">1-+$D$15*F2</f>
        <v>0.72399999999999998</v>
      </c>
      <c r="G15" s="50">
        <f t="shared" si="12"/>
        <v>0.82750000000000001</v>
      </c>
      <c r="H15" s="50">
        <f t="shared" si="12"/>
        <v>0.8620000000000001</v>
      </c>
      <c r="I15" s="54">
        <f t="shared" si="12"/>
        <v>0.6895</v>
      </c>
      <c r="J15" s="54">
        <f t="shared" si="12"/>
        <v>0.51700000000000013</v>
      </c>
      <c r="K15" s="50">
        <f t="shared" si="12"/>
        <v>0.6826000000000001</v>
      </c>
      <c r="L15" s="52">
        <f t="shared" si="12"/>
        <v>0.64810000000000001</v>
      </c>
      <c r="M15" s="53">
        <f t="shared" si="12"/>
        <v>0.53770000000000007</v>
      </c>
      <c r="N15" s="52">
        <f t="shared" si="12"/>
        <v>0.58600000000000008</v>
      </c>
      <c r="O15" s="53">
        <f t="shared" si="12"/>
        <v>0.70330000000000004</v>
      </c>
      <c r="P15" s="49">
        <f t="shared" si="12"/>
        <v>0.52390000000000003</v>
      </c>
      <c r="Q15" s="49">
        <f t="shared" si="12"/>
        <v>0.52390000000000003</v>
      </c>
      <c r="R15" s="50">
        <f t="shared" si="12"/>
        <v>0.39970000000000006</v>
      </c>
      <c r="S15" s="50">
        <f t="shared" si="12"/>
        <v>0.39970000000000006</v>
      </c>
      <c r="T15" s="50">
        <f t="shared" si="12"/>
        <v>0.41350000000000009</v>
      </c>
      <c r="U15" s="54">
        <f t="shared" si="12"/>
        <v>0.51700000000000013</v>
      </c>
      <c r="V15" s="54">
        <f t="shared" si="12"/>
        <v>0.44800000000000006</v>
      </c>
      <c r="W15" s="52">
        <f t="shared" si="12"/>
        <v>0.56530000000000002</v>
      </c>
      <c r="X15" s="52">
        <f t="shared" si="12"/>
        <v>0.56530000000000002</v>
      </c>
      <c r="Y15" s="50">
        <f t="shared" si="12"/>
        <v>0.65500000000000003</v>
      </c>
      <c r="Z15" s="50">
        <f t="shared" si="12"/>
        <v>0.65500000000000003</v>
      </c>
    </row>
    <row r="16" spans="1:29" x14ac:dyDescent="0.25">
      <c r="A16" s="42" t="s">
        <v>38</v>
      </c>
      <c r="B16" s="42" t="s">
        <v>69</v>
      </c>
      <c r="C16" s="44">
        <v>0.31</v>
      </c>
      <c r="D16" s="48">
        <f t="shared" si="1"/>
        <v>0.69</v>
      </c>
      <c r="E16" s="51">
        <f>1-+$D$16*E2</f>
        <v>0.5515000000000001</v>
      </c>
      <c r="F16" s="50">
        <f t="shared" ref="F16:Z16" si="13">1-+$D$16*F2</f>
        <v>0.72399999999999998</v>
      </c>
      <c r="G16" s="50">
        <f t="shared" si="13"/>
        <v>0.82750000000000001</v>
      </c>
      <c r="H16" s="50">
        <f t="shared" si="13"/>
        <v>0.8620000000000001</v>
      </c>
      <c r="I16" s="54">
        <f t="shared" si="13"/>
        <v>0.6895</v>
      </c>
      <c r="J16" s="54">
        <f t="shared" si="13"/>
        <v>0.51700000000000013</v>
      </c>
      <c r="K16" s="50">
        <f t="shared" si="13"/>
        <v>0.6826000000000001</v>
      </c>
      <c r="L16" s="52">
        <f t="shared" si="13"/>
        <v>0.64810000000000001</v>
      </c>
      <c r="M16" s="53">
        <f t="shared" si="13"/>
        <v>0.53770000000000007</v>
      </c>
      <c r="N16" s="53">
        <f t="shared" si="13"/>
        <v>0.58600000000000008</v>
      </c>
      <c r="O16" s="53">
        <f t="shared" si="13"/>
        <v>0.70330000000000004</v>
      </c>
      <c r="P16" s="49">
        <f t="shared" si="13"/>
        <v>0.52390000000000003</v>
      </c>
      <c r="Q16" s="49">
        <f t="shared" si="13"/>
        <v>0.52390000000000003</v>
      </c>
      <c r="R16" s="50">
        <f t="shared" si="13"/>
        <v>0.39970000000000006</v>
      </c>
      <c r="S16" s="50">
        <f t="shared" si="13"/>
        <v>0.39970000000000006</v>
      </c>
      <c r="T16" s="50">
        <f t="shared" si="13"/>
        <v>0.41350000000000009</v>
      </c>
      <c r="U16" s="53">
        <f t="shared" si="13"/>
        <v>0.51700000000000013</v>
      </c>
      <c r="V16" s="53">
        <f t="shared" si="13"/>
        <v>0.44800000000000006</v>
      </c>
      <c r="W16" s="52">
        <f t="shared" si="13"/>
        <v>0.56530000000000002</v>
      </c>
      <c r="X16" s="52">
        <f t="shared" si="13"/>
        <v>0.56530000000000002</v>
      </c>
      <c r="Y16" s="50">
        <f t="shared" si="13"/>
        <v>0.65500000000000003</v>
      </c>
      <c r="Z16" s="50">
        <f t="shared" si="13"/>
        <v>0.65500000000000003</v>
      </c>
    </row>
    <row r="17" spans="1:26" x14ac:dyDescent="0.25">
      <c r="A17" s="42" t="s">
        <v>39</v>
      </c>
      <c r="B17" s="42" t="s">
        <v>70</v>
      </c>
      <c r="C17" s="44">
        <v>0.13</v>
      </c>
      <c r="D17" s="48">
        <f t="shared" si="1"/>
        <v>0.87</v>
      </c>
      <c r="E17" s="55">
        <f>1-+$D$17*E2</f>
        <v>0.4345</v>
      </c>
      <c r="F17" s="50">
        <f t="shared" ref="F17:Z17" si="14">1-+$D$17*F2</f>
        <v>0.65199999999999991</v>
      </c>
      <c r="G17" s="50">
        <f t="shared" si="14"/>
        <v>0.78249999999999997</v>
      </c>
      <c r="H17" s="50">
        <f t="shared" si="14"/>
        <v>0.82600000000000007</v>
      </c>
      <c r="I17" s="54">
        <f t="shared" si="14"/>
        <v>0.60850000000000004</v>
      </c>
      <c r="J17" s="54">
        <f t="shared" si="14"/>
        <v>0.39100000000000001</v>
      </c>
      <c r="K17" s="50">
        <f t="shared" si="14"/>
        <v>0.59980000000000011</v>
      </c>
      <c r="L17" s="52">
        <f t="shared" si="14"/>
        <v>0.55630000000000002</v>
      </c>
      <c r="M17" s="52">
        <f t="shared" si="14"/>
        <v>0.41710000000000003</v>
      </c>
      <c r="N17" s="52">
        <f t="shared" si="14"/>
        <v>0.47799999999999998</v>
      </c>
      <c r="O17" s="52">
        <f t="shared" si="14"/>
        <v>0.6258999999999999</v>
      </c>
      <c r="P17" s="50">
        <f t="shared" si="14"/>
        <v>0.39970000000000006</v>
      </c>
      <c r="Q17" s="50">
        <f t="shared" si="14"/>
        <v>0.39970000000000006</v>
      </c>
      <c r="R17" s="49">
        <f t="shared" si="14"/>
        <v>0.24309999999999998</v>
      </c>
      <c r="S17" s="49">
        <f t="shared" si="14"/>
        <v>0.24309999999999998</v>
      </c>
      <c r="T17" s="50">
        <f t="shared" si="14"/>
        <v>0.26050000000000006</v>
      </c>
      <c r="U17" s="53">
        <f t="shared" si="14"/>
        <v>0.39100000000000001</v>
      </c>
      <c r="V17" s="53">
        <f t="shared" si="14"/>
        <v>0.30399999999999994</v>
      </c>
      <c r="W17" s="52">
        <f t="shared" si="14"/>
        <v>0.45189999999999997</v>
      </c>
      <c r="X17" s="52">
        <f t="shared" si="14"/>
        <v>0.45189999999999997</v>
      </c>
      <c r="Y17" s="50">
        <f t="shared" si="14"/>
        <v>0.56499999999999995</v>
      </c>
      <c r="Z17" s="50">
        <f t="shared" si="14"/>
        <v>0.56499999999999995</v>
      </c>
    </row>
    <row r="18" spans="1:26" x14ac:dyDescent="0.25">
      <c r="A18" s="42" t="s">
        <v>40</v>
      </c>
      <c r="B18" s="42" t="s">
        <v>71</v>
      </c>
      <c r="C18" s="44">
        <v>0.13</v>
      </c>
      <c r="D18" s="48">
        <f t="shared" si="1"/>
        <v>0.87</v>
      </c>
      <c r="E18" s="52">
        <f>1-+$D$18*E2</f>
        <v>0.4345</v>
      </c>
      <c r="F18" s="50">
        <f t="shared" ref="F18:Z18" si="15">1-+$D$18*F2</f>
        <v>0.65199999999999991</v>
      </c>
      <c r="G18" s="50">
        <f t="shared" si="15"/>
        <v>0.78249999999999997</v>
      </c>
      <c r="H18" s="50">
        <f t="shared" si="15"/>
        <v>0.82600000000000007</v>
      </c>
      <c r="I18" s="54">
        <f t="shared" si="15"/>
        <v>0.60850000000000004</v>
      </c>
      <c r="J18" s="54">
        <f t="shared" si="15"/>
        <v>0.39100000000000001</v>
      </c>
      <c r="K18" s="50">
        <f t="shared" si="15"/>
        <v>0.59980000000000011</v>
      </c>
      <c r="L18" s="52">
        <f t="shared" si="15"/>
        <v>0.55630000000000002</v>
      </c>
      <c r="M18" s="52">
        <f t="shared" si="15"/>
        <v>0.41710000000000003</v>
      </c>
      <c r="N18" s="52">
        <f t="shared" si="15"/>
        <v>0.47799999999999998</v>
      </c>
      <c r="O18" s="53">
        <f t="shared" si="15"/>
        <v>0.6258999999999999</v>
      </c>
      <c r="P18" s="50">
        <f t="shared" si="15"/>
        <v>0.39970000000000006</v>
      </c>
      <c r="Q18" s="50">
        <f t="shared" si="15"/>
        <v>0.39970000000000006</v>
      </c>
      <c r="R18" s="49">
        <f t="shared" si="15"/>
        <v>0.24309999999999998</v>
      </c>
      <c r="S18" s="49">
        <f t="shared" si="15"/>
        <v>0.24309999999999998</v>
      </c>
      <c r="T18" s="50">
        <f t="shared" si="15"/>
        <v>0.26050000000000006</v>
      </c>
      <c r="U18" s="52">
        <f t="shared" si="15"/>
        <v>0.39100000000000001</v>
      </c>
      <c r="V18" s="52">
        <f t="shared" si="15"/>
        <v>0.30399999999999994</v>
      </c>
      <c r="W18" s="52">
        <f t="shared" si="15"/>
        <v>0.45189999999999997</v>
      </c>
      <c r="X18" s="52">
        <f t="shared" si="15"/>
        <v>0.45189999999999997</v>
      </c>
      <c r="Y18" s="50">
        <f t="shared" si="15"/>
        <v>0.56499999999999995</v>
      </c>
      <c r="Z18" s="50">
        <f t="shared" si="15"/>
        <v>0.56499999999999995</v>
      </c>
    </row>
    <row r="19" spans="1:26" x14ac:dyDescent="0.25">
      <c r="A19" s="42" t="s">
        <v>41</v>
      </c>
      <c r="B19" s="42" t="s">
        <v>58</v>
      </c>
      <c r="C19" s="44">
        <v>0.15</v>
      </c>
      <c r="D19" s="48">
        <f t="shared" si="1"/>
        <v>0.85</v>
      </c>
      <c r="E19" s="50">
        <f>1-+$D$19*E2</f>
        <v>0.44750000000000001</v>
      </c>
      <c r="F19" s="50">
        <f t="shared" ref="F19:Z19" si="16">1-+$D$19*F2</f>
        <v>0.65999999999999992</v>
      </c>
      <c r="G19" s="50">
        <f t="shared" si="16"/>
        <v>0.78749999999999998</v>
      </c>
      <c r="H19" s="50">
        <f t="shared" si="16"/>
        <v>0.83000000000000007</v>
      </c>
      <c r="I19" s="54">
        <f t="shared" si="16"/>
        <v>0.61750000000000005</v>
      </c>
      <c r="J19" s="54">
        <f t="shared" si="16"/>
        <v>0.40500000000000003</v>
      </c>
      <c r="K19" s="50">
        <f t="shared" si="16"/>
        <v>0.60899999999999999</v>
      </c>
      <c r="L19" s="50">
        <f t="shared" si="16"/>
        <v>0.5665</v>
      </c>
      <c r="M19" s="50">
        <f t="shared" si="16"/>
        <v>0.4305000000000001</v>
      </c>
      <c r="N19" s="50">
        <f t="shared" si="16"/>
        <v>0.49</v>
      </c>
      <c r="O19" s="50">
        <f t="shared" si="16"/>
        <v>0.63449999999999995</v>
      </c>
      <c r="P19" s="50">
        <f t="shared" si="16"/>
        <v>0.41350000000000009</v>
      </c>
      <c r="Q19" s="50">
        <f t="shared" si="16"/>
        <v>0.41350000000000009</v>
      </c>
      <c r="R19" s="50">
        <f t="shared" si="16"/>
        <v>0.26050000000000006</v>
      </c>
      <c r="S19" s="50">
        <f t="shared" si="16"/>
        <v>0.26050000000000006</v>
      </c>
      <c r="T19" s="49">
        <f t="shared" si="16"/>
        <v>0.27750000000000008</v>
      </c>
      <c r="U19" s="52">
        <f t="shared" si="16"/>
        <v>0.40500000000000003</v>
      </c>
      <c r="V19" s="50">
        <f t="shared" si="16"/>
        <v>0.31999999999999995</v>
      </c>
      <c r="W19" s="52">
        <f t="shared" si="16"/>
        <v>0.46450000000000002</v>
      </c>
      <c r="X19" s="52">
        <f t="shared" si="16"/>
        <v>0.46450000000000002</v>
      </c>
      <c r="Y19" s="50">
        <f t="shared" si="16"/>
        <v>0.57499999999999996</v>
      </c>
      <c r="Z19" s="50">
        <f t="shared" si="16"/>
        <v>0.57499999999999996</v>
      </c>
    </row>
    <row r="20" spans="1:26" x14ac:dyDescent="0.25">
      <c r="A20" s="42" t="s">
        <v>42</v>
      </c>
      <c r="B20" s="42" t="s">
        <v>54</v>
      </c>
      <c r="C20" s="44">
        <v>0.3</v>
      </c>
      <c r="D20" s="48">
        <f t="shared" si="1"/>
        <v>0.7</v>
      </c>
      <c r="E20" s="52">
        <f>1-+$D$20*E2</f>
        <v>0.54500000000000004</v>
      </c>
      <c r="F20" s="52">
        <f t="shared" ref="F20:Z20" si="17">1-+$D$20*F2</f>
        <v>0.72</v>
      </c>
      <c r="G20" s="52">
        <f t="shared" si="17"/>
        <v>0.82499999999999996</v>
      </c>
      <c r="H20" s="52">
        <f t="shared" si="17"/>
        <v>0.8600000000000001</v>
      </c>
      <c r="I20" s="52">
        <f t="shared" si="17"/>
        <v>0.68500000000000005</v>
      </c>
      <c r="J20" s="52">
        <f t="shared" si="17"/>
        <v>0.51</v>
      </c>
      <c r="K20" s="50">
        <f t="shared" si="17"/>
        <v>0.67800000000000005</v>
      </c>
      <c r="L20" s="50">
        <f t="shared" si="17"/>
        <v>0.64300000000000002</v>
      </c>
      <c r="M20" s="52">
        <f t="shared" si="17"/>
        <v>0.53100000000000014</v>
      </c>
      <c r="N20" s="52">
        <f t="shared" si="17"/>
        <v>0.58000000000000007</v>
      </c>
      <c r="O20" s="52">
        <f t="shared" si="17"/>
        <v>0.69900000000000007</v>
      </c>
      <c r="P20" s="54">
        <f t="shared" si="17"/>
        <v>0.51700000000000013</v>
      </c>
      <c r="Q20" s="53">
        <f t="shared" si="17"/>
        <v>0.51700000000000013</v>
      </c>
      <c r="R20" s="53">
        <f t="shared" si="17"/>
        <v>0.39100000000000001</v>
      </c>
      <c r="S20" s="52">
        <f t="shared" si="17"/>
        <v>0.39100000000000001</v>
      </c>
      <c r="T20" s="50">
        <f t="shared" si="17"/>
        <v>0.40500000000000003</v>
      </c>
      <c r="U20" s="49">
        <f t="shared" si="17"/>
        <v>0.51</v>
      </c>
      <c r="V20" s="50">
        <f t="shared" si="17"/>
        <v>0.44000000000000006</v>
      </c>
      <c r="W20" s="53">
        <f t="shared" si="17"/>
        <v>0.55900000000000005</v>
      </c>
      <c r="X20" s="53">
        <f t="shared" si="17"/>
        <v>0.55900000000000005</v>
      </c>
      <c r="Y20" s="53">
        <f t="shared" si="17"/>
        <v>0.65</v>
      </c>
      <c r="Z20" s="52">
        <f t="shared" si="17"/>
        <v>0.65</v>
      </c>
    </row>
    <row r="21" spans="1:26" x14ac:dyDescent="0.25">
      <c r="A21" s="42" t="s">
        <v>43</v>
      </c>
      <c r="B21" s="42" t="s">
        <v>59</v>
      </c>
      <c r="C21" s="44">
        <v>0.2</v>
      </c>
      <c r="D21" s="48">
        <f t="shared" si="1"/>
        <v>0.8</v>
      </c>
      <c r="E21" s="52">
        <f>1-+$D$21*E2</f>
        <v>0.48</v>
      </c>
      <c r="F21" s="52">
        <f t="shared" ref="F21:Z21" si="18">1-+$D$21*F2</f>
        <v>0.67999999999999994</v>
      </c>
      <c r="G21" s="52">
        <f t="shared" si="18"/>
        <v>0.8</v>
      </c>
      <c r="H21" s="52">
        <f t="shared" si="18"/>
        <v>0.84000000000000008</v>
      </c>
      <c r="I21" s="52">
        <f t="shared" si="18"/>
        <v>0.64</v>
      </c>
      <c r="J21" s="52">
        <f t="shared" si="18"/>
        <v>0.44000000000000006</v>
      </c>
      <c r="K21" s="50">
        <f t="shared" si="18"/>
        <v>0.63200000000000001</v>
      </c>
      <c r="L21" s="50">
        <f t="shared" si="18"/>
        <v>0.59199999999999997</v>
      </c>
      <c r="M21" s="52">
        <f t="shared" si="18"/>
        <v>0.46400000000000008</v>
      </c>
      <c r="N21" s="52">
        <f t="shared" si="18"/>
        <v>0.52</v>
      </c>
      <c r="O21" s="52">
        <f t="shared" si="18"/>
        <v>0.65599999999999992</v>
      </c>
      <c r="P21" s="54">
        <f t="shared" si="18"/>
        <v>0.44800000000000006</v>
      </c>
      <c r="Q21" s="53">
        <f t="shared" si="18"/>
        <v>0.44800000000000006</v>
      </c>
      <c r="R21" s="53">
        <f t="shared" si="18"/>
        <v>0.30399999999999994</v>
      </c>
      <c r="S21" s="52">
        <f t="shared" si="18"/>
        <v>0.30399999999999994</v>
      </c>
      <c r="T21" s="50">
        <f t="shared" si="18"/>
        <v>0.31999999999999995</v>
      </c>
      <c r="U21" s="50">
        <f t="shared" si="18"/>
        <v>0.44000000000000006</v>
      </c>
      <c r="V21" s="49">
        <f t="shared" si="18"/>
        <v>0.35999999999999988</v>
      </c>
      <c r="W21" s="53">
        <f t="shared" si="18"/>
        <v>0.496</v>
      </c>
      <c r="X21" s="53">
        <f t="shared" si="18"/>
        <v>0.496</v>
      </c>
      <c r="Y21" s="53">
        <f t="shared" si="18"/>
        <v>0.6</v>
      </c>
      <c r="Z21" s="52">
        <f t="shared" si="18"/>
        <v>0.6</v>
      </c>
    </row>
    <row r="22" spans="1:26" x14ac:dyDescent="0.25">
      <c r="A22" s="42" t="s">
        <v>44</v>
      </c>
      <c r="B22" s="42" t="s">
        <v>72</v>
      </c>
      <c r="C22" s="44">
        <v>0.37</v>
      </c>
      <c r="D22" s="48">
        <f t="shared" si="1"/>
        <v>0.63</v>
      </c>
      <c r="E22" s="52">
        <f>1-+$D$22*E2</f>
        <v>0.59050000000000002</v>
      </c>
      <c r="F22" s="50">
        <f t="shared" ref="F22:Z22" si="19">1-+$D$22*F2</f>
        <v>0.748</v>
      </c>
      <c r="G22" s="50">
        <f t="shared" si="19"/>
        <v>0.84250000000000003</v>
      </c>
      <c r="H22" s="50">
        <f t="shared" si="19"/>
        <v>0.874</v>
      </c>
      <c r="I22" s="54">
        <f t="shared" si="19"/>
        <v>0.71650000000000003</v>
      </c>
      <c r="J22" s="54">
        <f t="shared" si="19"/>
        <v>0.55900000000000005</v>
      </c>
      <c r="K22" s="50">
        <f t="shared" si="19"/>
        <v>0.71019999999999994</v>
      </c>
      <c r="L22" s="52">
        <f t="shared" si="19"/>
        <v>0.67869999999999997</v>
      </c>
      <c r="M22" s="52">
        <f t="shared" si="19"/>
        <v>0.57790000000000008</v>
      </c>
      <c r="N22" s="52">
        <f t="shared" si="19"/>
        <v>0.622</v>
      </c>
      <c r="O22" s="52">
        <f t="shared" si="19"/>
        <v>0.72909999999999997</v>
      </c>
      <c r="P22" s="50">
        <f t="shared" si="19"/>
        <v>0.56530000000000002</v>
      </c>
      <c r="Q22" s="50">
        <f t="shared" si="19"/>
        <v>0.56530000000000002</v>
      </c>
      <c r="R22" s="50">
        <f t="shared" si="19"/>
        <v>0.45189999999999997</v>
      </c>
      <c r="S22" s="50">
        <f t="shared" si="19"/>
        <v>0.45189999999999997</v>
      </c>
      <c r="T22" s="50">
        <f t="shared" si="19"/>
        <v>0.46450000000000002</v>
      </c>
      <c r="U22" s="53">
        <f t="shared" si="19"/>
        <v>0.55900000000000005</v>
      </c>
      <c r="V22" s="53">
        <f t="shared" si="19"/>
        <v>0.496</v>
      </c>
      <c r="W22" s="49">
        <f t="shared" si="19"/>
        <v>0.60309999999999997</v>
      </c>
      <c r="X22" s="49">
        <f t="shared" si="19"/>
        <v>0.60309999999999997</v>
      </c>
      <c r="Y22" s="50">
        <f t="shared" si="19"/>
        <v>0.68500000000000005</v>
      </c>
      <c r="Z22" s="50">
        <f t="shared" si="19"/>
        <v>0.68500000000000005</v>
      </c>
    </row>
    <row r="23" spans="1:26" x14ac:dyDescent="0.25">
      <c r="A23" s="42" t="s">
        <v>45</v>
      </c>
      <c r="B23" s="42" t="s">
        <v>73</v>
      </c>
      <c r="C23" s="44">
        <v>0.37</v>
      </c>
      <c r="D23" s="48">
        <f t="shared" si="1"/>
        <v>0.63</v>
      </c>
      <c r="E23" s="52">
        <f>1-+$D$23*E2</f>
        <v>0.59050000000000002</v>
      </c>
      <c r="F23" s="50">
        <f t="shared" ref="F23:Z23" si="20">1-+$D$23*F2</f>
        <v>0.748</v>
      </c>
      <c r="G23" s="50">
        <f t="shared" si="20"/>
        <v>0.84250000000000003</v>
      </c>
      <c r="H23" s="50">
        <f t="shared" si="20"/>
        <v>0.874</v>
      </c>
      <c r="I23" s="54">
        <f t="shared" si="20"/>
        <v>0.71650000000000003</v>
      </c>
      <c r="J23" s="54">
        <f t="shared" si="20"/>
        <v>0.55900000000000005</v>
      </c>
      <c r="K23" s="50">
        <f t="shared" si="20"/>
        <v>0.71019999999999994</v>
      </c>
      <c r="L23" s="52">
        <f t="shared" si="20"/>
        <v>0.67869999999999997</v>
      </c>
      <c r="M23" s="52">
        <f t="shared" si="20"/>
        <v>0.57790000000000008</v>
      </c>
      <c r="N23" s="52">
        <f t="shared" si="20"/>
        <v>0.622</v>
      </c>
      <c r="O23" s="52">
        <f t="shared" si="20"/>
        <v>0.72909999999999997</v>
      </c>
      <c r="P23" s="50">
        <f t="shared" si="20"/>
        <v>0.56530000000000002</v>
      </c>
      <c r="Q23" s="50">
        <f t="shared" si="20"/>
        <v>0.56530000000000002</v>
      </c>
      <c r="R23" s="50">
        <f t="shared" si="20"/>
        <v>0.45189999999999997</v>
      </c>
      <c r="S23" s="50">
        <f t="shared" si="20"/>
        <v>0.45189999999999997</v>
      </c>
      <c r="T23" s="50">
        <f t="shared" si="20"/>
        <v>0.46450000000000002</v>
      </c>
      <c r="U23" s="53">
        <f t="shared" si="20"/>
        <v>0.55900000000000005</v>
      </c>
      <c r="V23" s="53">
        <f t="shared" si="20"/>
        <v>0.496</v>
      </c>
      <c r="W23" s="49">
        <f t="shared" si="20"/>
        <v>0.60309999999999997</v>
      </c>
      <c r="X23" s="49">
        <f t="shared" si="20"/>
        <v>0.60309999999999997</v>
      </c>
      <c r="Y23" s="50">
        <f t="shared" si="20"/>
        <v>0.68500000000000005</v>
      </c>
      <c r="Z23" s="50">
        <f t="shared" si="20"/>
        <v>0.68500000000000005</v>
      </c>
    </row>
    <row r="24" spans="1:26" x14ac:dyDescent="0.25">
      <c r="A24" s="42" t="s">
        <v>46</v>
      </c>
      <c r="B24" s="42" t="s">
        <v>74</v>
      </c>
      <c r="C24" s="44">
        <v>0.5</v>
      </c>
      <c r="D24" s="48">
        <f t="shared" si="1"/>
        <v>0.5</v>
      </c>
      <c r="E24" s="53">
        <f>1-+$D$24*E2</f>
        <v>0.67500000000000004</v>
      </c>
      <c r="F24" s="50">
        <f t="shared" ref="F24:Z24" si="21">1-+$D$24*F2</f>
        <v>0.8</v>
      </c>
      <c r="G24" s="50">
        <f t="shared" si="21"/>
        <v>0.875</v>
      </c>
      <c r="H24" s="50">
        <f t="shared" si="21"/>
        <v>0.9</v>
      </c>
      <c r="I24" s="54">
        <f t="shared" si="21"/>
        <v>0.77500000000000002</v>
      </c>
      <c r="J24" s="54">
        <f t="shared" si="21"/>
        <v>0.65</v>
      </c>
      <c r="K24" s="50">
        <f t="shared" si="21"/>
        <v>0.77</v>
      </c>
      <c r="L24" s="52">
        <f t="shared" si="21"/>
        <v>0.745</v>
      </c>
      <c r="M24" s="52">
        <f t="shared" si="21"/>
        <v>0.66500000000000004</v>
      </c>
      <c r="N24" s="52">
        <f t="shared" si="21"/>
        <v>0.7</v>
      </c>
      <c r="O24" s="52">
        <f t="shared" si="21"/>
        <v>0.78499999999999992</v>
      </c>
      <c r="P24" s="50">
        <f t="shared" si="21"/>
        <v>0.65500000000000003</v>
      </c>
      <c r="Q24" s="50">
        <f t="shared" si="21"/>
        <v>0.65500000000000003</v>
      </c>
      <c r="R24" s="50">
        <f t="shared" si="21"/>
        <v>0.56499999999999995</v>
      </c>
      <c r="S24" s="50">
        <f t="shared" si="21"/>
        <v>0.56499999999999995</v>
      </c>
      <c r="T24" s="50">
        <f t="shared" si="21"/>
        <v>0.57499999999999996</v>
      </c>
      <c r="U24" s="53">
        <f t="shared" si="21"/>
        <v>0.65</v>
      </c>
      <c r="V24" s="53">
        <f t="shared" si="21"/>
        <v>0.6</v>
      </c>
      <c r="W24" s="50">
        <f t="shared" si="21"/>
        <v>0.68500000000000005</v>
      </c>
      <c r="X24" s="50">
        <f t="shared" si="21"/>
        <v>0.68500000000000005</v>
      </c>
      <c r="Y24" s="49">
        <f t="shared" si="21"/>
        <v>0.75</v>
      </c>
      <c r="Z24" s="49">
        <f t="shared" si="21"/>
        <v>0.75</v>
      </c>
    </row>
    <row r="25" spans="1:26" x14ac:dyDescent="0.25">
      <c r="A25" s="42" t="s">
        <v>47</v>
      </c>
      <c r="B25" s="42" t="s">
        <v>75</v>
      </c>
      <c r="C25" s="44">
        <v>0.5</v>
      </c>
      <c r="D25" s="48">
        <f t="shared" si="1"/>
        <v>0.5</v>
      </c>
      <c r="E25" s="53">
        <f>1-+$D$25*E2</f>
        <v>0.67500000000000004</v>
      </c>
      <c r="F25" s="50">
        <f t="shared" ref="F25:Z25" si="22">1-+$D$25*F2</f>
        <v>0.8</v>
      </c>
      <c r="G25" s="50">
        <f t="shared" si="22"/>
        <v>0.875</v>
      </c>
      <c r="H25" s="50">
        <f t="shared" si="22"/>
        <v>0.9</v>
      </c>
      <c r="I25" s="54">
        <f t="shared" si="22"/>
        <v>0.77500000000000002</v>
      </c>
      <c r="J25" s="54">
        <f t="shared" si="22"/>
        <v>0.65</v>
      </c>
      <c r="K25" s="50">
        <f t="shared" si="22"/>
        <v>0.77</v>
      </c>
      <c r="L25" s="52">
        <f t="shared" si="22"/>
        <v>0.745</v>
      </c>
      <c r="M25" s="53">
        <f t="shared" si="22"/>
        <v>0.66500000000000004</v>
      </c>
      <c r="N25" s="52">
        <f t="shared" si="22"/>
        <v>0.7</v>
      </c>
      <c r="O25" s="53">
        <f t="shared" si="22"/>
        <v>0.78499999999999992</v>
      </c>
      <c r="P25" s="50">
        <f t="shared" si="22"/>
        <v>0.65500000000000003</v>
      </c>
      <c r="Q25" s="50">
        <f t="shared" si="22"/>
        <v>0.65500000000000003</v>
      </c>
      <c r="R25" s="50">
        <f t="shared" si="22"/>
        <v>0.56499999999999995</v>
      </c>
      <c r="S25" s="50">
        <f t="shared" si="22"/>
        <v>0.56499999999999995</v>
      </c>
      <c r="T25" s="50">
        <f t="shared" si="22"/>
        <v>0.57499999999999996</v>
      </c>
      <c r="U25" s="52">
        <f t="shared" si="22"/>
        <v>0.65</v>
      </c>
      <c r="V25" s="52">
        <f t="shared" si="22"/>
        <v>0.6</v>
      </c>
      <c r="W25" s="50">
        <f t="shared" si="22"/>
        <v>0.68500000000000005</v>
      </c>
      <c r="X25" s="50">
        <f t="shared" si="22"/>
        <v>0.68500000000000005</v>
      </c>
      <c r="Y25" s="49">
        <f t="shared" si="22"/>
        <v>0.75</v>
      </c>
      <c r="Z25" s="49">
        <f t="shared" si="22"/>
        <v>0.75</v>
      </c>
    </row>
    <row r="26" spans="1:26" x14ac:dyDescent="0.25">
      <c r="E26" s="45"/>
      <c r="F26" s="45"/>
      <c r="G26" s="45"/>
      <c r="H26" s="45"/>
      <c r="I26" s="56"/>
      <c r="J26" s="56"/>
      <c r="K26" s="45"/>
      <c r="L26" s="45"/>
      <c r="M26" s="45"/>
      <c r="N26" s="45"/>
      <c r="O26" s="45"/>
      <c r="P26" s="45"/>
      <c r="Q26" s="45"/>
      <c r="R26" s="45"/>
      <c r="S26" s="57"/>
    </row>
    <row r="27" spans="1:26" x14ac:dyDescent="0.25">
      <c r="E27" s="45"/>
      <c r="F27" s="45"/>
      <c r="G27" s="45"/>
      <c r="H27" s="45"/>
      <c r="I27" s="56"/>
      <c r="J27" s="56"/>
      <c r="K27" s="45"/>
      <c r="L27" s="45"/>
      <c r="M27" s="45"/>
      <c r="N27" s="45"/>
      <c r="O27" s="45"/>
      <c r="P27" s="45"/>
      <c r="Q27" s="45"/>
      <c r="R27" s="45"/>
      <c r="S27" s="45"/>
    </row>
    <row r="28" spans="1:26" x14ac:dyDescent="0.25">
      <c r="B28" s="42" t="s">
        <v>60</v>
      </c>
      <c r="E28" s="57"/>
      <c r="F28" s="57"/>
      <c r="G28" s="57"/>
      <c r="H28" s="57"/>
      <c r="I28" s="56"/>
      <c r="J28" s="56"/>
      <c r="K28" s="45"/>
      <c r="L28" s="45"/>
      <c r="M28" s="45"/>
      <c r="N28" s="45"/>
      <c r="O28" s="45"/>
      <c r="P28" s="45"/>
      <c r="Q28" s="45"/>
      <c r="R28" s="45"/>
      <c r="S28" s="45"/>
    </row>
    <row r="29" spans="1:26" x14ac:dyDescent="0.25">
      <c r="B29" s="42" t="s">
        <v>61</v>
      </c>
      <c r="C29" s="44" t="s">
        <v>62</v>
      </c>
      <c r="E29" s="45"/>
      <c r="F29" s="45"/>
      <c r="G29" s="45"/>
      <c r="H29" s="45"/>
      <c r="I29" s="56"/>
      <c r="J29" s="56"/>
      <c r="K29" s="45"/>
      <c r="L29" s="45"/>
      <c r="M29" s="45"/>
      <c r="N29" s="45"/>
      <c r="O29" s="45"/>
      <c r="P29" s="45"/>
      <c r="Q29" s="45"/>
      <c r="R29" s="45"/>
      <c r="S29" s="57"/>
    </row>
    <row r="30" spans="1:26" x14ac:dyDescent="0.25">
      <c r="B30" s="42" t="s">
        <v>63</v>
      </c>
      <c r="C30" s="44" t="s">
        <v>64</v>
      </c>
      <c r="E30" s="57"/>
      <c r="F30" s="57"/>
      <c r="G30" s="57"/>
      <c r="H30" s="57"/>
      <c r="I30" s="56"/>
      <c r="J30" s="56"/>
      <c r="K30" s="45"/>
      <c r="L30" s="45"/>
      <c r="M30" s="45"/>
      <c r="N30" s="45"/>
      <c r="O30" s="45"/>
      <c r="P30" s="45"/>
      <c r="Q30" s="45"/>
      <c r="R30" s="45"/>
      <c r="S30" s="57"/>
    </row>
    <row r="31" spans="1:26" x14ac:dyDescent="0.25">
      <c r="B31" s="42" t="s">
        <v>65</v>
      </c>
      <c r="C31" s="44" t="s">
        <v>66</v>
      </c>
      <c r="E31" s="57"/>
      <c r="F31" s="57"/>
      <c r="G31" s="57"/>
      <c r="H31" s="57"/>
      <c r="I31" s="56"/>
      <c r="J31" s="56"/>
      <c r="K31" s="45"/>
      <c r="L31" s="45"/>
      <c r="M31" s="45"/>
      <c r="N31" s="45"/>
      <c r="O31" s="45"/>
      <c r="P31" s="45"/>
      <c r="Q31" s="45"/>
      <c r="R31" s="45"/>
      <c r="S31" s="57"/>
    </row>
    <row r="32" spans="1:26" x14ac:dyDescent="0.25">
      <c r="B32" s="42" t="s">
        <v>117</v>
      </c>
      <c r="E32" s="45"/>
      <c r="F32" s="45"/>
      <c r="G32" s="45"/>
      <c r="H32" s="45"/>
      <c r="I32" s="56"/>
      <c r="J32" s="56"/>
      <c r="K32" s="45"/>
      <c r="L32" s="45"/>
      <c r="M32" s="45"/>
      <c r="N32" s="45"/>
      <c r="O32" s="45"/>
      <c r="P32" s="45"/>
      <c r="Q32" s="45"/>
      <c r="R32" s="45"/>
      <c r="S32" s="57"/>
    </row>
    <row r="33" spans="2:19" x14ac:dyDescent="0.25">
      <c r="B33" s="42" t="s">
        <v>213</v>
      </c>
      <c r="C33" s="44" t="s">
        <v>123</v>
      </c>
      <c r="E33" s="45"/>
      <c r="F33" s="45"/>
      <c r="G33" s="45"/>
      <c r="H33" s="45"/>
      <c r="I33" s="56"/>
      <c r="J33" s="56"/>
      <c r="K33" s="45"/>
      <c r="L33" s="45"/>
      <c r="M33" s="45"/>
      <c r="N33" s="45"/>
      <c r="O33" s="45"/>
      <c r="P33" s="45"/>
      <c r="Q33" s="45"/>
      <c r="R33" s="45"/>
      <c r="S33" s="57"/>
    </row>
    <row r="34" spans="2:19" x14ac:dyDescent="0.25">
      <c r="B34" s="42" t="s">
        <v>214</v>
      </c>
      <c r="E34" s="45"/>
      <c r="F34" s="45"/>
      <c r="G34" s="45"/>
      <c r="H34" s="45"/>
      <c r="I34" s="56"/>
      <c r="J34" s="56"/>
      <c r="K34" s="45"/>
      <c r="L34" s="45"/>
      <c r="M34" s="45"/>
      <c r="N34" s="45"/>
      <c r="O34" s="45"/>
      <c r="P34" s="45"/>
      <c r="Q34" s="45"/>
      <c r="R34" s="45"/>
      <c r="S34" s="57"/>
    </row>
    <row r="35" spans="2:19" x14ac:dyDescent="0.25">
      <c r="B35" s="42" t="s">
        <v>104</v>
      </c>
      <c r="C35" s="44" t="s">
        <v>124</v>
      </c>
      <c r="E35" s="45"/>
      <c r="F35" s="45"/>
      <c r="G35" s="45"/>
      <c r="H35" s="45"/>
      <c r="I35" s="56"/>
      <c r="J35" s="56"/>
      <c r="K35" s="45"/>
      <c r="L35" s="45"/>
      <c r="M35" s="45"/>
      <c r="N35" s="45"/>
      <c r="O35" s="45"/>
      <c r="P35" s="45"/>
      <c r="Q35" s="45"/>
      <c r="R35" s="45"/>
      <c r="S35" s="45"/>
    </row>
    <row r="36" spans="2:19" x14ac:dyDescent="0.25">
      <c r="B36" s="42" t="s">
        <v>105</v>
      </c>
      <c r="E36" s="57"/>
      <c r="F36" s="57"/>
      <c r="G36" s="57"/>
      <c r="H36" s="57"/>
      <c r="I36" s="57"/>
      <c r="J36" s="57"/>
      <c r="K36" s="45"/>
      <c r="L36" s="45"/>
      <c r="M36" s="57"/>
      <c r="N36" s="57"/>
      <c r="O36" s="45"/>
      <c r="P36" s="45"/>
      <c r="Q36" s="45"/>
      <c r="R36" s="45"/>
      <c r="S36" s="45"/>
    </row>
    <row r="37" spans="2:19" x14ac:dyDescent="0.25">
      <c r="B37" s="42" t="s">
        <v>106</v>
      </c>
      <c r="C37" s="42" t="s">
        <v>117</v>
      </c>
      <c r="E37" s="45"/>
      <c r="F37" s="45"/>
      <c r="G37" s="45"/>
      <c r="H37" s="45"/>
      <c r="I37" s="45"/>
      <c r="J37" s="45"/>
      <c r="K37" s="45"/>
      <c r="L37" s="45"/>
      <c r="M37" s="45"/>
      <c r="N37" s="45"/>
      <c r="O37" s="45"/>
      <c r="P37" s="45"/>
      <c r="Q37" s="45"/>
      <c r="R37" s="45"/>
      <c r="S37" s="45"/>
    </row>
    <row r="38" spans="2:19" x14ac:dyDescent="0.25">
      <c r="B38" s="42" t="s">
        <v>122</v>
      </c>
      <c r="C38" s="42" t="s">
        <v>122</v>
      </c>
      <c r="E38" s="45"/>
      <c r="F38" s="45"/>
      <c r="G38" s="45"/>
      <c r="H38" s="45"/>
      <c r="I38" s="45"/>
      <c r="J38" s="45"/>
      <c r="K38" s="45"/>
      <c r="L38" s="45"/>
      <c r="M38" s="45"/>
      <c r="N38" s="45"/>
      <c r="O38" s="45"/>
      <c r="P38" s="45"/>
      <c r="Q38" s="45"/>
      <c r="R38" s="45"/>
      <c r="S38" s="45"/>
    </row>
    <row r="39" spans="2:19" x14ac:dyDescent="0.25">
      <c r="B39" s="42" t="s">
        <v>107</v>
      </c>
      <c r="C39" s="42" t="s">
        <v>107</v>
      </c>
      <c r="E39" s="45"/>
      <c r="F39" s="45"/>
      <c r="G39" s="45"/>
      <c r="H39" s="45"/>
      <c r="I39" s="45"/>
      <c r="J39" s="45"/>
      <c r="K39" s="45"/>
      <c r="L39" s="45"/>
      <c r="M39" s="45"/>
      <c r="N39" s="45"/>
      <c r="O39" s="45"/>
      <c r="P39" s="45"/>
      <c r="Q39" s="45"/>
      <c r="R39" s="45"/>
      <c r="S39" s="45"/>
    </row>
    <row r="40" spans="2:19" x14ac:dyDescent="0.25">
      <c r="B40" s="42" t="s">
        <v>108</v>
      </c>
      <c r="C40" s="42" t="s">
        <v>108</v>
      </c>
      <c r="E40" s="45"/>
      <c r="F40" s="45"/>
      <c r="G40" s="45"/>
      <c r="H40" s="45"/>
      <c r="I40" s="45"/>
      <c r="J40" s="45"/>
      <c r="K40" s="45"/>
      <c r="L40" s="45"/>
      <c r="M40" s="45"/>
      <c r="N40" s="45"/>
      <c r="O40" s="45"/>
      <c r="P40" s="45"/>
      <c r="Q40" s="45"/>
      <c r="R40" s="45"/>
      <c r="S40" s="45"/>
    </row>
    <row r="41" spans="2:19" x14ac:dyDescent="0.25">
      <c r="B41" s="42" t="s">
        <v>203</v>
      </c>
      <c r="E41" s="45"/>
      <c r="F41" s="45"/>
      <c r="G41" s="45"/>
      <c r="H41" s="45"/>
      <c r="I41" s="45"/>
      <c r="J41" s="45"/>
      <c r="K41" s="45"/>
      <c r="L41" s="45"/>
      <c r="M41" s="45"/>
      <c r="N41" s="45"/>
      <c r="O41" s="45"/>
      <c r="P41" s="45"/>
      <c r="Q41" s="45"/>
      <c r="R41" s="45"/>
      <c r="S41" s="45"/>
    </row>
    <row r="42" spans="2:19" x14ac:dyDescent="0.25">
      <c r="B42" s="42" t="s">
        <v>110</v>
      </c>
      <c r="C42" s="44" t="s">
        <v>123</v>
      </c>
    </row>
    <row r="43" spans="2:19" x14ac:dyDescent="0.25">
      <c r="B43" s="42" t="s">
        <v>109</v>
      </c>
      <c r="C43" s="44" t="s">
        <v>126</v>
      </c>
    </row>
    <row r="44" spans="2:19" x14ac:dyDescent="0.25">
      <c r="B44" s="42" t="s">
        <v>111</v>
      </c>
      <c r="C44" s="44" t="s">
        <v>127</v>
      </c>
    </row>
    <row r="45" spans="2:19" x14ac:dyDescent="0.25">
      <c r="B45" s="42" t="s">
        <v>112</v>
      </c>
      <c r="C45" s="44" t="s">
        <v>128</v>
      </c>
    </row>
    <row r="46" spans="2:19" x14ac:dyDescent="0.25">
      <c r="B46" s="42" t="s">
        <v>113</v>
      </c>
    </row>
    <row r="47" spans="2:19" x14ac:dyDescent="0.25">
      <c r="B47" s="42" t="s">
        <v>114</v>
      </c>
    </row>
    <row r="49" spans="2:3" x14ac:dyDescent="0.25">
      <c r="B49" s="42" t="s">
        <v>129</v>
      </c>
    </row>
    <row r="50" spans="2:3" x14ac:dyDescent="0.25">
      <c r="B50" s="42" t="s">
        <v>130</v>
      </c>
    </row>
    <row r="52" spans="2:3" x14ac:dyDescent="0.25">
      <c r="B52" s="42" t="s">
        <v>102</v>
      </c>
      <c r="C52" s="44" t="s">
        <v>102</v>
      </c>
    </row>
    <row r="53" spans="2:3" x14ac:dyDescent="0.25">
      <c r="B53" s="42" t="s">
        <v>103</v>
      </c>
      <c r="C53" s="44" t="s">
        <v>103</v>
      </c>
    </row>
    <row r="54" spans="2:3" x14ac:dyDescent="0.25">
      <c r="C54" s="44" t="str">
        <f>IF(VLEESKUIKENOUDERDIEREN!$L$20="geen techniek","GEEN TECHNIEK","JA")</f>
        <v>GEEN TECHNIEK</v>
      </c>
    </row>
    <row r="55" spans="2:3" x14ac:dyDescent="0.25">
      <c r="C55" s="44" t="s">
        <v>103</v>
      </c>
    </row>
  </sheetData>
  <pageMargins left="0.75" right="0.75" top="1" bottom="1" header="0.5" footer="0.5"/>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X97"/>
  <sheetViews>
    <sheetView workbookViewId="0">
      <pane ySplit="2" topLeftCell="A3" activePane="bottomLeft" state="frozen"/>
      <selection pane="bottomLeft" activeCell="M25" sqref="M25"/>
    </sheetView>
  </sheetViews>
  <sheetFormatPr defaultRowHeight="12.75" x14ac:dyDescent="0.2"/>
  <cols>
    <col min="2" max="2" width="10.7109375" style="1" customWidth="1"/>
    <col min="3" max="5" width="9.140625" style="1"/>
    <col min="6" max="6" width="9.7109375" style="1" customWidth="1"/>
    <col min="7" max="7" width="10.140625" style="1" customWidth="1"/>
    <col min="8" max="9" width="8.85546875" style="1" bestFit="1" customWidth="1"/>
    <col min="10" max="10" width="8.85546875" style="22" bestFit="1" customWidth="1"/>
    <col min="11" max="11" width="8.85546875" style="37" customWidth="1"/>
    <col min="12" max="12" width="8.85546875" style="1" bestFit="1" customWidth="1"/>
    <col min="13" max="17" width="12" customWidth="1"/>
  </cols>
  <sheetData>
    <row r="1" spans="1:24" s="3" customFormat="1" ht="38.25" x14ac:dyDescent="0.2">
      <c r="A1" s="14" t="s">
        <v>11</v>
      </c>
      <c r="B1" s="14" t="s">
        <v>16</v>
      </c>
      <c r="C1" s="14" t="s">
        <v>14</v>
      </c>
      <c r="D1" s="14" t="s">
        <v>15</v>
      </c>
      <c r="E1" s="14" t="s">
        <v>13</v>
      </c>
      <c r="F1" s="12" t="s">
        <v>12</v>
      </c>
      <c r="G1" s="17" t="s">
        <v>17</v>
      </c>
      <c r="H1" s="17" t="s">
        <v>19</v>
      </c>
      <c r="I1" s="17" t="s">
        <v>18</v>
      </c>
      <c r="J1" s="23" t="s">
        <v>20</v>
      </c>
      <c r="K1" s="32" t="s">
        <v>22</v>
      </c>
      <c r="L1" s="17" t="s">
        <v>21</v>
      </c>
      <c r="M1" s="15"/>
      <c r="O1" s="3" t="s">
        <v>1</v>
      </c>
      <c r="P1" s="4" t="s">
        <v>2</v>
      </c>
      <c r="Q1" s="4" t="s">
        <v>4</v>
      </c>
      <c r="R1" s="4" t="s">
        <v>3</v>
      </c>
      <c r="S1" s="4" t="s">
        <v>5</v>
      </c>
      <c r="T1" s="4" t="s">
        <v>6</v>
      </c>
      <c r="U1" s="4" t="s">
        <v>9</v>
      </c>
      <c r="V1" s="4" t="s">
        <v>10</v>
      </c>
      <c r="W1" s="4"/>
      <c r="X1" s="4"/>
    </row>
    <row r="2" spans="1:24" x14ac:dyDescent="0.2">
      <c r="A2" s="29"/>
      <c r="B2" s="29"/>
      <c r="C2" s="40">
        <v>2.9</v>
      </c>
      <c r="D2" s="29"/>
      <c r="E2" s="29"/>
      <c r="F2" s="31"/>
      <c r="G2" s="28"/>
      <c r="H2" s="28"/>
      <c r="I2" s="28"/>
      <c r="J2" s="30">
        <f>+C2</f>
        <v>2.9</v>
      </c>
      <c r="K2" s="33">
        <f>+J2</f>
        <v>2.9</v>
      </c>
      <c r="L2" s="29">
        <f>+C2</f>
        <v>2.9</v>
      </c>
      <c r="M2" s="1"/>
      <c r="O2" t="s">
        <v>0</v>
      </c>
      <c r="P2" s="1">
        <v>1</v>
      </c>
      <c r="Q2" s="2">
        <v>39589</v>
      </c>
      <c r="R2" s="1">
        <v>29</v>
      </c>
      <c r="S2" s="5">
        <v>20.744166666666668</v>
      </c>
      <c r="T2" s="5">
        <v>15.487083333333331</v>
      </c>
      <c r="U2" s="7">
        <v>6.874876718089352</v>
      </c>
      <c r="V2" s="6">
        <v>2.677237202793155</v>
      </c>
      <c r="W2" s="1"/>
      <c r="X2" s="1"/>
    </row>
    <row r="3" spans="1:24" x14ac:dyDescent="0.2">
      <c r="A3" s="8">
        <v>-20</v>
      </c>
      <c r="B3" s="10">
        <v>1</v>
      </c>
      <c r="C3" s="10">
        <f>IF(B3&lt;C$2,B3,C$2)</f>
        <v>1</v>
      </c>
      <c r="D3" s="11">
        <f>B3-C3</f>
        <v>0</v>
      </c>
      <c r="E3" s="11">
        <f t="shared" ref="E3:E22" si="0">-0.052*A3+2.243</f>
        <v>3.2829999999999999</v>
      </c>
      <c r="F3" s="13">
        <v>6.7796610169491525E-2</v>
      </c>
      <c r="G3" s="9">
        <f>(E3/1000)*F3*B3</f>
        <v>2.2257627118644067E-4</v>
      </c>
      <c r="H3" s="9">
        <f>($E3/1000)*$F3*$D3+(($E3/1000)*$F3*$C3)*0.5</f>
        <v>1.1128813559322034E-4</v>
      </c>
      <c r="I3" s="9">
        <f t="shared" ref="I3:I18" si="1">($E3/1000)*$F3*$D3+(($E3/1000)*$F3*$C3)*0.4</f>
        <v>8.903050847457628E-5</v>
      </c>
      <c r="J3" s="24">
        <f>($E3/1000)*$F3*$D3+(($E3/1000)*$F3*$C3)*0.3</f>
        <v>6.6772881355932196E-5</v>
      </c>
      <c r="K3" s="34">
        <f>($E3/1000)*$F3*$D3+(($E3/1000)*$F3*$C3)*0.2</f>
        <v>4.451525423728814E-5</v>
      </c>
      <c r="L3" s="9">
        <f>($E3/1000)*$F3*$D3+(($E3/1000)*$F3*$C3)*0.01</f>
        <v>2.2257627118644067E-6</v>
      </c>
      <c r="M3" s="1"/>
      <c r="O3" t="s">
        <v>0</v>
      </c>
      <c r="P3" s="1">
        <v>2</v>
      </c>
      <c r="Q3" s="2">
        <v>39671</v>
      </c>
      <c r="R3" s="1">
        <v>111</v>
      </c>
      <c r="S3" s="5">
        <v>21.945833333333336</v>
      </c>
      <c r="T3" s="5">
        <v>17.772500000000001</v>
      </c>
      <c r="U3" s="7">
        <v>7.7987695662297174</v>
      </c>
      <c r="V3" s="6">
        <v>0.89465756417496589</v>
      </c>
      <c r="W3" s="1"/>
      <c r="X3" s="1"/>
    </row>
    <row r="4" spans="1:24" x14ac:dyDescent="0.2">
      <c r="A4" s="8">
        <v>-19</v>
      </c>
      <c r="B4" s="10">
        <v>1</v>
      </c>
      <c r="C4" s="10">
        <f t="shared" ref="C4:C58" si="2">IF(B4&lt;C$2,B4,C$2)</f>
        <v>1</v>
      </c>
      <c r="D4" s="11">
        <f t="shared" ref="D4:D58" si="3">B4-C4</f>
        <v>0</v>
      </c>
      <c r="E4" s="11">
        <f t="shared" si="0"/>
        <v>3.2309999999999999</v>
      </c>
      <c r="F4" s="5">
        <v>8.4745762711864403E-2</v>
      </c>
      <c r="G4" s="9">
        <f t="shared" ref="G4:G58" si="4">(E4/1000)*F4*B4</f>
        <v>2.7381355932203387E-4</v>
      </c>
      <c r="H4" s="9">
        <f t="shared" ref="H4:H58" si="5">($E4/1000)*$F4*$D4+(($E4/1000)*$F4*$C4)*0.5</f>
        <v>1.3690677966101693E-4</v>
      </c>
      <c r="I4" s="9">
        <f t="shared" si="1"/>
        <v>1.0952542372881356E-4</v>
      </c>
      <c r="J4" s="24">
        <f t="shared" ref="J4:J58" si="6">($E4/1000)*$F4*$D4+(($E4/1000)*$F4*$C4)*0.3</f>
        <v>8.2144067796610155E-5</v>
      </c>
      <c r="K4" s="34">
        <f t="shared" ref="K4:K58" si="7">($E4/1000)*$F4*$D4+(($E4/1000)*$F4*$C4)*0.2</f>
        <v>5.4762711864406779E-5</v>
      </c>
      <c r="L4" s="9">
        <f t="shared" ref="L4:L58" si="8">($E4/1000)*$F4*$D4+(($E4/1000)*$F4*$C4)*0.01</f>
        <v>2.7381355932203386E-6</v>
      </c>
      <c r="M4" s="1"/>
      <c r="O4" t="s">
        <v>0</v>
      </c>
      <c r="P4" s="1">
        <v>3</v>
      </c>
      <c r="Q4" s="2">
        <v>39720</v>
      </c>
      <c r="R4" s="1">
        <v>160</v>
      </c>
      <c r="S4" s="5">
        <v>22.092500000000001</v>
      </c>
      <c r="T4" s="5">
        <v>12.180833333333334</v>
      </c>
      <c r="U4" s="7">
        <v>3.0666550367894136</v>
      </c>
      <c r="V4" s="6">
        <v>1.1368264338913063</v>
      </c>
      <c r="W4" s="1"/>
      <c r="X4" s="1"/>
    </row>
    <row r="5" spans="1:24" x14ac:dyDescent="0.2">
      <c r="A5" s="8">
        <v>-18</v>
      </c>
      <c r="B5" s="10">
        <v>1</v>
      </c>
      <c r="C5" s="10">
        <f t="shared" si="2"/>
        <v>1</v>
      </c>
      <c r="D5" s="11">
        <f t="shared" si="3"/>
        <v>0</v>
      </c>
      <c r="E5" s="11">
        <f t="shared" si="0"/>
        <v>3.1789999999999998</v>
      </c>
      <c r="F5" s="5">
        <v>8.4745762711864403E-2</v>
      </c>
      <c r="G5" s="9">
        <f t="shared" si="4"/>
        <v>2.6940677966101693E-4</v>
      </c>
      <c r="H5" s="9">
        <f t="shared" si="5"/>
        <v>1.3470338983050846E-4</v>
      </c>
      <c r="I5" s="9">
        <f t="shared" si="1"/>
        <v>1.0776271186440678E-4</v>
      </c>
      <c r="J5" s="24">
        <f t="shared" si="6"/>
        <v>8.0822033898305081E-5</v>
      </c>
      <c r="K5" s="34">
        <f t="shared" si="7"/>
        <v>5.388135593220339E-5</v>
      </c>
      <c r="L5" s="9">
        <f t="shared" si="8"/>
        <v>2.6940677966101693E-6</v>
      </c>
      <c r="M5" s="1"/>
      <c r="O5" t="s">
        <v>0</v>
      </c>
      <c r="P5" s="1">
        <v>4</v>
      </c>
      <c r="Q5" s="2">
        <v>39757</v>
      </c>
      <c r="R5" s="1">
        <v>197</v>
      </c>
      <c r="S5" s="5">
        <v>21.863333333333333</v>
      </c>
      <c r="T5" s="5">
        <v>10.095000000000001</v>
      </c>
      <c r="U5" s="7">
        <v>2.4049341564796172</v>
      </c>
      <c r="V5" s="6">
        <v>1.0679618400610718</v>
      </c>
      <c r="W5" s="1"/>
      <c r="X5" s="1"/>
    </row>
    <row r="6" spans="1:24" x14ac:dyDescent="0.2">
      <c r="A6" s="8">
        <v>-17</v>
      </c>
      <c r="B6" s="10">
        <v>1</v>
      </c>
      <c r="C6" s="10">
        <f t="shared" si="2"/>
        <v>1</v>
      </c>
      <c r="D6" s="11">
        <f t="shared" si="3"/>
        <v>0</v>
      </c>
      <c r="E6" s="11">
        <f t="shared" si="0"/>
        <v>3.1269999999999998</v>
      </c>
      <c r="F6" s="5">
        <v>0.1864406779661017</v>
      </c>
      <c r="G6" s="9">
        <f t="shared" si="4"/>
        <v>5.8299999999999997E-4</v>
      </c>
      <c r="H6" s="9">
        <f t="shared" si="5"/>
        <v>2.9149999999999998E-4</v>
      </c>
      <c r="I6" s="9">
        <f t="shared" si="1"/>
        <v>2.332E-4</v>
      </c>
      <c r="J6" s="24">
        <f t="shared" si="6"/>
        <v>1.749E-4</v>
      </c>
      <c r="K6" s="34">
        <f t="shared" si="7"/>
        <v>1.166E-4</v>
      </c>
      <c r="L6" s="9">
        <f t="shared" si="8"/>
        <v>5.8300000000000001E-6</v>
      </c>
      <c r="M6" s="1"/>
      <c r="O6" t="s">
        <v>0</v>
      </c>
      <c r="P6" s="1">
        <v>5</v>
      </c>
      <c r="Q6" s="2">
        <v>39790</v>
      </c>
      <c r="R6" s="1">
        <v>230</v>
      </c>
      <c r="S6" s="5">
        <v>22.103333333333332</v>
      </c>
      <c r="T6" s="5"/>
      <c r="U6" s="7">
        <v>1.5250636139989062</v>
      </c>
      <c r="V6" s="6">
        <v>1.585921432928634</v>
      </c>
      <c r="W6" s="1"/>
      <c r="X6" s="1"/>
    </row>
    <row r="7" spans="1:24" x14ac:dyDescent="0.2">
      <c r="A7" s="8">
        <v>-16</v>
      </c>
      <c r="B7" s="10">
        <v>1</v>
      </c>
      <c r="C7" s="10">
        <f t="shared" si="2"/>
        <v>1</v>
      </c>
      <c r="D7" s="11">
        <f t="shared" si="3"/>
        <v>0</v>
      </c>
      <c r="E7" s="11">
        <f t="shared" si="0"/>
        <v>3.0749999999999997</v>
      </c>
      <c r="F7" s="5">
        <v>0.38983050847457629</v>
      </c>
      <c r="G7" s="9">
        <f t="shared" si="4"/>
        <v>1.1987288135593219E-3</v>
      </c>
      <c r="H7" s="9">
        <f t="shared" si="5"/>
        <v>5.9936440677966097E-4</v>
      </c>
      <c r="I7" s="9">
        <f t="shared" si="1"/>
        <v>4.794915254237288E-4</v>
      </c>
      <c r="J7" s="24">
        <f t="shared" si="6"/>
        <v>3.5961864406779657E-4</v>
      </c>
      <c r="K7" s="34">
        <f t="shared" si="7"/>
        <v>2.397457627118644E-4</v>
      </c>
      <c r="L7" s="9">
        <f t="shared" si="8"/>
        <v>1.1987288135593219E-5</v>
      </c>
      <c r="M7" s="1"/>
      <c r="O7" t="s">
        <v>0</v>
      </c>
      <c r="P7" s="1">
        <v>6</v>
      </c>
      <c r="Q7" s="2">
        <v>39832</v>
      </c>
      <c r="R7" s="1">
        <v>273</v>
      </c>
      <c r="S7" s="5">
        <v>22.317916666666665</v>
      </c>
      <c r="T7" s="5">
        <v>6.6371666666666664</v>
      </c>
      <c r="U7" s="7">
        <v>1.772216510189637</v>
      </c>
      <c r="V7" s="6">
        <v>1.9792349413598105</v>
      </c>
      <c r="W7" s="1"/>
      <c r="X7" s="1"/>
    </row>
    <row r="8" spans="1:24" x14ac:dyDescent="0.2">
      <c r="A8" s="8">
        <v>-15</v>
      </c>
      <c r="B8" s="10">
        <v>1</v>
      </c>
      <c r="C8" s="10">
        <f t="shared" si="2"/>
        <v>1</v>
      </c>
      <c r="D8" s="11">
        <f t="shared" si="3"/>
        <v>0</v>
      </c>
      <c r="E8" s="11">
        <f t="shared" si="0"/>
        <v>3.0229999999999997</v>
      </c>
      <c r="F8" s="5">
        <v>0.9152542372881356</v>
      </c>
      <c r="G8" s="9">
        <f t="shared" si="4"/>
        <v>2.7668135593220335E-3</v>
      </c>
      <c r="H8" s="9">
        <f t="shared" si="5"/>
        <v>1.3834067796610167E-3</v>
      </c>
      <c r="I8" s="9">
        <f t="shared" si="1"/>
        <v>1.1067254237288133E-3</v>
      </c>
      <c r="J8" s="24">
        <f t="shared" si="6"/>
        <v>8.3004406779661007E-4</v>
      </c>
      <c r="K8" s="34">
        <f t="shared" si="7"/>
        <v>5.5336271186440667E-4</v>
      </c>
      <c r="L8" s="9">
        <f t="shared" si="8"/>
        <v>2.7668135593220334E-5</v>
      </c>
      <c r="M8" s="1"/>
      <c r="O8" t="s">
        <v>7</v>
      </c>
      <c r="P8" s="1">
        <v>1</v>
      </c>
      <c r="Q8" s="2">
        <v>39624</v>
      </c>
      <c r="R8" s="1">
        <v>22</v>
      </c>
      <c r="S8" s="5">
        <v>20.744166666666668</v>
      </c>
      <c r="T8" s="5">
        <v>15.487083333333331</v>
      </c>
      <c r="U8" s="7">
        <v>8.7370979665129838</v>
      </c>
      <c r="V8" s="1"/>
      <c r="W8" s="1"/>
      <c r="X8" s="1"/>
    </row>
    <row r="9" spans="1:24" x14ac:dyDescent="0.2">
      <c r="A9" s="8">
        <v>-14</v>
      </c>
      <c r="B9" s="10">
        <v>1</v>
      </c>
      <c r="C9" s="10">
        <f t="shared" si="2"/>
        <v>1</v>
      </c>
      <c r="D9" s="11">
        <f t="shared" si="3"/>
        <v>0</v>
      </c>
      <c r="E9" s="11">
        <f t="shared" si="0"/>
        <v>2.9710000000000001</v>
      </c>
      <c r="F9" s="5">
        <v>1.1016949152542372</v>
      </c>
      <c r="G9" s="9">
        <f t="shared" si="4"/>
        <v>3.2731355932203391E-3</v>
      </c>
      <c r="H9" s="9">
        <f t="shared" si="5"/>
        <v>1.6365677966101696E-3</v>
      </c>
      <c r="I9" s="9">
        <f t="shared" si="1"/>
        <v>1.3092542372881357E-3</v>
      </c>
      <c r="J9" s="24">
        <f t="shared" si="6"/>
        <v>9.819406779661016E-4</v>
      </c>
      <c r="K9" s="34">
        <f t="shared" si="7"/>
        <v>6.5462711864406784E-4</v>
      </c>
      <c r="L9" s="9">
        <f t="shared" si="8"/>
        <v>3.2731355932203391E-5</v>
      </c>
      <c r="M9" s="1"/>
      <c r="O9" t="s">
        <v>7</v>
      </c>
      <c r="P9" s="1">
        <v>2</v>
      </c>
      <c r="Q9" s="2">
        <v>39636</v>
      </c>
      <c r="R9" s="1">
        <v>34</v>
      </c>
      <c r="S9" s="5">
        <v>21.145138888888894</v>
      </c>
      <c r="T9" s="5">
        <v>14.811979166666674</v>
      </c>
      <c r="U9" s="7">
        <v>5.5627974416682697</v>
      </c>
      <c r="V9" s="6">
        <v>2.1092265764765084</v>
      </c>
      <c r="W9" s="1"/>
      <c r="X9" s="1"/>
    </row>
    <row r="10" spans="1:24" x14ac:dyDescent="0.2">
      <c r="A10" s="8">
        <v>-13</v>
      </c>
      <c r="B10" s="10">
        <v>1</v>
      </c>
      <c r="C10" s="10">
        <f t="shared" si="2"/>
        <v>1</v>
      </c>
      <c r="D10" s="11">
        <f t="shared" si="3"/>
        <v>0</v>
      </c>
      <c r="E10" s="11">
        <f t="shared" si="0"/>
        <v>2.9189999999999996</v>
      </c>
      <c r="F10" s="5">
        <v>2.0677966101694913</v>
      </c>
      <c r="G10" s="9">
        <f t="shared" si="4"/>
        <v>6.0358983050847444E-3</v>
      </c>
      <c r="H10" s="9">
        <f t="shared" si="5"/>
        <v>3.0179491525423722E-3</v>
      </c>
      <c r="I10" s="9">
        <f t="shared" si="1"/>
        <v>2.4143593220338978E-3</v>
      </c>
      <c r="J10" s="24">
        <f t="shared" si="6"/>
        <v>1.8107694915254233E-3</v>
      </c>
      <c r="K10" s="34">
        <f t="shared" si="7"/>
        <v>1.2071796610169489E-3</v>
      </c>
      <c r="L10" s="9">
        <f t="shared" si="8"/>
        <v>6.0358983050847445E-5</v>
      </c>
      <c r="M10" s="1"/>
      <c r="O10" t="s">
        <v>7</v>
      </c>
      <c r="P10" s="1">
        <v>3</v>
      </c>
      <c r="Q10" s="2">
        <v>39673</v>
      </c>
      <c r="R10" s="1">
        <v>71</v>
      </c>
      <c r="S10" s="5">
        <v>22.337499999999999</v>
      </c>
      <c r="T10" s="5">
        <v>15.842916666666662</v>
      </c>
      <c r="U10" s="7">
        <v>7.4018185763108084</v>
      </c>
      <c r="V10" s="6">
        <v>1.0081692624378173</v>
      </c>
      <c r="W10" s="1"/>
      <c r="X10" s="1"/>
    </row>
    <row r="11" spans="1:24" x14ac:dyDescent="0.2">
      <c r="A11" s="8">
        <v>-12</v>
      </c>
      <c r="B11" s="10">
        <v>1</v>
      </c>
      <c r="C11" s="10">
        <f t="shared" si="2"/>
        <v>1</v>
      </c>
      <c r="D11" s="11">
        <f t="shared" si="3"/>
        <v>0</v>
      </c>
      <c r="E11" s="11">
        <f t="shared" si="0"/>
        <v>2.867</v>
      </c>
      <c r="F11" s="5">
        <v>2.6610169491525424</v>
      </c>
      <c r="G11" s="9">
        <f t="shared" si="4"/>
        <v>7.6291355932203396E-3</v>
      </c>
      <c r="H11" s="9">
        <f t="shared" si="5"/>
        <v>3.8145677966101698E-3</v>
      </c>
      <c r="I11" s="9">
        <f t="shared" si="1"/>
        <v>3.0516542372881362E-3</v>
      </c>
      <c r="J11" s="24">
        <f t="shared" si="6"/>
        <v>2.2887406779661017E-3</v>
      </c>
      <c r="K11" s="34">
        <f t="shared" si="7"/>
        <v>1.5258271186440681E-3</v>
      </c>
      <c r="L11" s="9">
        <f t="shared" si="8"/>
        <v>7.6291355932203394E-5</v>
      </c>
      <c r="M11" s="1"/>
      <c r="O11" t="s">
        <v>7</v>
      </c>
      <c r="P11" s="1">
        <v>4</v>
      </c>
      <c r="Q11" s="2">
        <v>39709</v>
      </c>
      <c r="R11" s="1">
        <v>107</v>
      </c>
      <c r="S11" s="5" t="s">
        <v>8</v>
      </c>
      <c r="T11" s="5">
        <v>11.226208333333332</v>
      </c>
      <c r="U11" s="7">
        <v>3.1837331440241154</v>
      </c>
      <c r="V11" s="6">
        <v>1.5572118301404929</v>
      </c>
      <c r="W11" s="1"/>
      <c r="X11" s="1"/>
    </row>
    <row r="12" spans="1:24" x14ac:dyDescent="0.2">
      <c r="A12" s="8">
        <v>-11</v>
      </c>
      <c r="B12" s="10">
        <v>1</v>
      </c>
      <c r="C12" s="10">
        <f t="shared" si="2"/>
        <v>1</v>
      </c>
      <c r="D12" s="11">
        <f t="shared" si="3"/>
        <v>0</v>
      </c>
      <c r="E12" s="11">
        <f t="shared" si="0"/>
        <v>2.8149999999999999</v>
      </c>
      <c r="F12" s="5">
        <v>4.0677966101694913</v>
      </c>
      <c r="G12" s="9">
        <f t="shared" si="4"/>
        <v>1.1450847457627117E-2</v>
      </c>
      <c r="H12" s="9">
        <f t="shared" si="5"/>
        <v>5.7254237288135584E-3</v>
      </c>
      <c r="I12" s="9">
        <f t="shared" si="1"/>
        <v>4.5803389830508471E-3</v>
      </c>
      <c r="J12" s="24">
        <f t="shared" si="6"/>
        <v>3.4352542372881349E-3</v>
      </c>
      <c r="K12" s="34">
        <f t="shared" si="7"/>
        <v>2.2901694915254235E-3</v>
      </c>
      <c r="L12" s="9">
        <f t="shared" si="8"/>
        <v>1.1450847457627117E-4</v>
      </c>
      <c r="M12" s="1"/>
      <c r="O12" t="s">
        <v>7</v>
      </c>
      <c r="P12" s="1">
        <v>5</v>
      </c>
      <c r="Q12" s="2">
        <v>39755</v>
      </c>
      <c r="R12" s="1">
        <v>153</v>
      </c>
      <c r="S12" s="5">
        <v>20.816086956521737</v>
      </c>
      <c r="T12" s="5">
        <v>9.0591304347826078</v>
      </c>
      <c r="U12" s="7">
        <v>2.4933302924120038</v>
      </c>
      <c r="V12" s="6">
        <v>1.5470806454551589</v>
      </c>
      <c r="W12" s="1"/>
      <c r="X12" s="1"/>
    </row>
    <row r="13" spans="1:24" x14ac:dyDescent="0.2">
      <c r="A13" s="8">
        <v>-10</v>
      </c>
      <c r="B13" s="10">
        <v>1</v>
      </c>
      <c r="C13" s="10">
        <f t="shared" si="2"/>
        <v>1</v>
      </c>
      <c r="D13" s="11">
        <f t="shared" si="3"/>
        <v>0</v>
      </c>
      <c r="E13" s="11">
        <f t="shared" si="0"/>
        <v>2.7629999999999999</v>
      </c>
      <c r="F13" s="5">
        <v>7.101694915254237</v>
      </c>
      <c r="G13" s="9">
        <f t="shared" si="4"/>
        <v>1.9621983050847457E-2</v>
      </c>
      <c r="H13" s="9">
        <f t="shared" si="5"/>
        <v>9.8109915254237286E-3</v>
      </c>
      <c r="I13" s="9">
        <f t="shared" si="1"/>
        <v>7.8487932203389829E-3</v>
      </c>
      <c r="J13" s="24">
        <f t="shared" si="6"/>
        <v>5.8865949152542372E-3</v>
      </c>
      <c r="K13" s="34">
        <f t="shared" si="7"/>
        <v>3.9243966101694915E-3</v>
      </c>
      <c r="L13" s="9">
        <f t="shared" si="8"/>
        <v>1.9621983050847457E-4</v>
      </c>
      <c r="M13" s="1"/>
      <c r="O13" t="s">
        <v>7</v>
      </c>
      <c r="P13" s="1">
        <v>6</v>
      </c>
      <c r="Q13" s="2">
        <v>39783</v>
      </c>
      <c r="R13" s="1">
        <v>181</v>
      </c>
      <c r="S13" s="5">
        <v>21.708749999999998</v>
      </c>
      <c r="T13" s="5">
        <v>2.3603333333333332</v>
      </c>
      <c r="U13" s="7">
        <v>1.2172498686424815</v>
      </c>
      <c r="V13" s="6">
        <v>2.3100039862304498</v>
      </c>
      <c r="W13" s="1"/>
      <c r="X13" s="1"/>
    </row>
    <row r="14" spans="1:24" x14ac:dyDescent="0.2">
      <c r="A14" s="8">
        <v>-9</v>
      </c>
      <c r="B14" s="10">
        <v>1</v>
      </c>
      <c r="C14" s="10">
        <f t="shared" si="2"/>
        <v>1</v>
      </c>
      <c r="D14" s="11">
        <f t="shared" si="3"/>
        <v>0</v>
      </c>
      <c r="E14" s="11">
        <f t="shared" si="0"/>
        <v>2.7109999999999999</v>
      </c>
      <c r="F14" s="5">
        <v>10.338983050847459</v>
      </c>
      <c r="G14" s="9">
        <f t="shared" si="4"/>
        <v>2.8028983050847459E-2</v>
      </c>
      <c r="H14" s="9">
        <f t="shared" si="5"/>
        <v>1.4014491525423729E-2</v>
      </c>
      <c r="I14" s="9">
        <f t="shared" si="1"/>
        <v>1.1211593220338984E-2</v>
      </c>
      <c r="J14" s="24">
        <f t="shared" si="6"/>
        <v>8.4086949152542365E-3</v>
      </c>
      <c r="K14" s="34">
        <f t="shared" si="7"/>
        <v>5.6057966101694919E-3</v>
      </c>
      <c r="L14" s="9">
        <f t="shared" si="8"/>
        <v>2.8028983050847457E-4</v>
      </c>
      <c r="M14" s="1"/>
      <c r="O14" t="s">
        <v>7</v>
      </c>
      <c r="P14" s="1">
        <v>7</v>
      </c>
      <c r="Q14" s="2">
        <v>39841</v>
      </c>
      <c r="R14" s="1">
        <v>239</v>
      </c>
      <c r="S14" s="5">
        <v>20.215416666666673</v>
      </c>
      <c r="T14" s="5">
        <v>-0.37458333333333343</v>
      </c>
      <c r="U14" s="7">
        <v>1.8181172965341552</v>
      </c>
      <c r="V14" s="6">
        <v>2.4007295650057485</v>
      </c>
      <c r="W14" s="1"/>
      <c r="X14" s="1"/>
    </row>
    <row r="15" spans="1:24" x14ac:dyDescent="0.2">
      <c r="A15" s="8">
        <v>-8</v>
      </c>
      <c r="B15" s="10">
        <v>1</v>
      </c>
      <c r="C15" s="10">
        <f t="shared" si="2"/>
        <v>1</v>
      </c>
      <c r="D15" s="11">
        <f t="shared" si="3"/>
        <v>0</v>
      </c>
      <c r="E15" s="11">
        <f t="shared" si="0"/>
        <v>2.6589999999999998</v>
      </c>
      <c r="F15" s="5">
        <v>14.322033898305085</v>
      </c>
      <c r="G15" s="9">
        <f t="shared" si="4"/>
        <v>3.8082288135593216E-2</v>
      </c>
      <c r="H15" s="9">
        <f t="shared" si="5"/>
        <v>1.9041144067796608E-2</v>
      </c>
      <c r="I15" s="9">
        <f t="shared" si="1"/>
        <v>1.5232915254237287E-2</v>
      </c>
      <c r="J15" s="24">
        <f t="shared" si="6"/>
        <v>1.1424686440677964E-2</v>
      </c>
      <c r="K15" s="34">
        <f t="shared" si="7"/>
        <v>7.6164576271186436E-3</v>
      </c>
      <c r="L15" s="9">
        <f t="shared" si="8"/>
        <v>3.8082288135593215E-4</v>
      </c>
      <c r="M15" s="1"/>
      <c r="P15" s="1"/>
      <c r="Q15" s="2"/>
      <c r="R15" s="1"/>
      <c r="S15" s="1"/>
      <c r="T15" s="1"/>
      <c r="U15" s="1"/>
      <c r="V15" s="1"/>
      <c r="W15" s="1"/>
      <c r="X15" s="1"/>
    </row>
    <row r="16" spans="1:24" x14ac:dyDescent="0.2">
      <c r="A16" s="8">
        <v>-7</v>
      </c>
      <c r="B16" s="10">
        <v>1</v>
      </c>
      <c r="C16" s="10">
        <f t="shared" si="2"/>
        <v>1</v>
      </c>
      <c r="D16" s="11">
        <f t="shared" si="3"/>
        <v>0</v>
      </c>
      <c r="E16" s="11">
        <f t="shared" si="0"/>
        <v>2.6069999999999998</v>
      </c>
      <c r="F16" s="5">
        <v>20.237288135593221</v>
      </c>
      <c r="G16" s="9">
        <f t="shared" si="4"/>
        <v>5.2758610169491529E-2</v>
      </c>
      <c r="H16" s="9">
        <f t="shared" si="5"/>
        <v>2.6379305084745765E-2</v>
      </c>
      <c r="I16" s="9">
        <f t="shared" si="1"/>
        <v>2.1103444067796615E-2</v>
      </c>
      <c r="J16" s="24">
        <f t="shared" si="6"/>
        <v>1.5827583050847457E-2</v>
      </c>
      <c r="K16" s="34">
        <f t="shared" si="7"/>
        <v>1.0551722033898307E-2</v>
      </c>
      <c r="L16" s="9">
        <f t="shared" si="8"/>
        <v>5.2758610169491532E-4</v>
      </c>
      <c r="M16" s="1"/>
      <c r="P16" s="1"/>
      <c r="Q16" s="1"/>
      <c r="R16" s="1"/>
      <c r="S16" s="1"/>
      <c r="T16" s="1"/>
      <c r="U16" s="1"/>
      <c r="V16" s="1"/>
      <c r="W16" s="1"/>
      <c r="X16" s="1"/>
    </row>
    <row r="17" spans="1:24" x14ac:dyDescent="0.2">
      <c r="A17" s="8">
        <v>-6</v>
      </c>
      <c r="B17" s="10">
        <v>1</v>
      </c>
      <c r="C17" s="10">
        <f t="shared" si="2"/>
        <v>1</v>
      </c>
      <c r="D17" s="11">
        <f t="shared" si="3"/>
        <v>0</v>
      </c>
      <c r="E17" s="11">
        <f t="shared" si="0"/>
        <v>2.5549999999999997</v>
      </c>
      <c r="F17" s="5">
        <v>25.983050847457626</v>
      </c>
      <c r="G17" s="9">
        <f t="shared" si="4"/>
        <v>6.638669491525423E-2</v>
      </c>
      <c r="H17" s="9">
        <f t="shared" si="5"/>
        <v>3.3193347457627115E-2</v>
      </c>
      <c r="I17" s="9">
        <f t="shared" si="1"/>
        <v>2.6554677966101694E-2</v>
      </c>
      <c r="J17" s="24">
        <f t="shared" si="6"/>
        <v>1.991600847457627E-2</v>
      </c>
      <c r="K17" s="34">
        <f t="shared" si="7"/>
        <v>1.3277338983050847E-2</v>
      </c>
      <c r="L17" s="9">
        <f t="shared" si="8"/>
        <v>6.638669491525423E-4</v>
      </c>
      <c r="M17" s="1"/>
      <c r="P17" s="1"/>
      <c r="Q17" s="1"/>
      <c r="R17" s="1"/>
      <c r="S17" s="1"/>
      <c r="T17" s="1"/>
      <c r="U17" s="1"/>
      <c r="V17" s="1"/>
      <c r="W17" s="1"/>
      <c r="X17" s="1"/>
    </row>
    <row r="18" spans="1:24" x14ac:dyDescent="0.2">
      <c r="A18" s="8">
        <v>-5</v>
      </c>
      <c r="B18" s="10">
        <v>1</v>
      </c>
      <c r="C18" s="10">
        <f t="shared" si="2"/>
        <v>1</v>
      </c>
      <c r="D18" s="11">
        <f t="shared" si="3"/>
        <v>0</v>
      </c>
      <c r="E18" s="11">
        <f t="shared" si="0"/>
        <v>2.5030000000000001</v>
      </c>
      <c r="F18" s="5">
        <v>34.559322033898304</v>
      </c>
      <c r="G18" s="9">
        <f t="shared" si="4"/>
        <v>8.6501983050847456E-2</v>
      </c>
      <c r="H18" s="9">
        <f t="shared" si="5"/>
        <v>4.3250991525423728E-2</v>
      </c>
      <c r="I18" s="9">
        <f t="shared" si="1"/>
        <v>3.4600793220338981E-2</v>
      </c>
      <c r="J18" s="24">
        <f t="shared" si="6"/>
        <v>2.5950594915254237E-2</v>
      </c>
      <c r="K18" s="34">
        <f t="shared" si="7"/>
        <v>1.730039661016949E-2</v>
      </c>
      <c r="L18" s="9">
        <f t="shared" si="8"/>
        <v>8.6501983050847457E-4</v>
      </c>
      <c r="M18" s="1"/>
      <c r="P18" s="1"/>
      <c r="Q18" s="1"/>
      <c r="R18" s="1"/>
      <c r="S18" s="1"/>
      <c r="T18" s="1"/>
      <c r="U18" s="1"/>
      <c r="V18" s="1"/>
      <c r="W18" s="1"/>
      <c r="X18" s="1"/>
    </row>
    <row r="19" spans="1:24" x14ac:dyDescent="0.2">
      <c r="A19" s="8">
        <v>-4</v>
      </c>
      <c r="B19" s="10">
        <v>1</v>
      </c>
      <c r="C19" s="10">
        <f t="shared" si="2"/>
        <v>1</v>
      </c>
      <c r="D19" s="11">
        <f t="shared" si="3"/>
        <v>0</v>
      </c>
      <c r="E19" s="11">
        <f t="shared" si="0"/>
        <v>2.4510000000000001</v>
      </c>
      <c r="F19" s="5">
        <v>47.610169491525426</v>
      </c>
      <c r="G19" s="9">
        <f t="shared" si="4"/>
        <v>0.11669252542372882</v>
      </c>
      <c r="H19" s="9">
        <f t="shared" si="5"/>
        <v>5.8346262711864411E-2</v>
      </c>
      <c r="I19" s="9">
        <f t="shared" ref="I19:I58" si="9">($E19/1000)*$F19*$D19+(($E19/1000)*$F19*$C19)*0.4</f>
        <v>4.667701016949153E-2</v>
      </c>
      <c r="J19" s="24">
        <f t="shared" si="6"/>
        <v>3.5007757627118642E-2</v>
      </c>
      <c r="K19" s="34">
        <f t="shared" si="7"/>
        <v>2.3338505084745765E-2</v>
      </c>
      <c r="L19" s="9">
        <f t="shared" si="8"/>
        <v>1.1669252542372882E-3</v>
      </c>
      <c r="M19" s="1"/>
      <c r="P19" s="1"/>
      <c r="Q19" s="1"/>
      <c r="R19" s="1"/>
      <c r="S19" s="1"/>
      <c r="T19" s="1"/>
      <c r="U19" s="1"/>
      <c r="V19" s="1"/>
      <c r="W19" s="1"/>
      <c r="X19" s="1"/>
    </row>
    <row r="20" spans="1:24" x14ac:dyDescent="0.2">
      <c r="A20" s="8">
        <v>-3</v>
      </c>
      <c r="B20" s="10">
        <v>1</v>
      </c>
      <c r="C20" s="10">
        <f t="shared" si="2"/>
        <v>1</v>
      </c>
      <c r="D20" s="11">
        <f t="shared" si="3"/>
        <v>0</v>
      </c>
      <c r="E20" s="11">
        <f t="shared" si="0"/>
        <v>2.399</v>
      </c>
      <c r="F20" s="5">
        <v>69.881355932203391</v>
      </c>
      <c r="G20" s="9">
        <f t="shared" si="4"/>
        <v>0.16764537288135595</v>
      </c>
      <c r="H20" s="9">
        <f t="shared" si="5"/>
        <v>8.3822686440677974E-2</v>
      </c>
      <c r="I20" s="9">
        <f t="shared" si="9"/>
        <v>6.7058149152542379E-2</v>
      </c>
      <c r="J20" s="24">
        <f t="shared" si="6"/>
        <v>5.0293611864406784E-2</v>
      </c>
      <c r="K20" s="34">
        <f t="shared" si="7"/>
        <v>3.3529074576271189E-2</v>
      </c>
      <c r="L20" s="9">
        <f t="shared" si="8"/>
        <v>1.6764537288135595E-3</v>
      </c>
      <c r="M20" s="1"/>
      <c r="P20" s="1"/>
      <c r="Q20" s="1"/>
      <c r="R20" s="1"/>
      <c r="S20" s="1"/>
      <c r="T20" s="1"/>
      <c r="U20" s="1"/>
      <c r="V20" s="1"/>
      <c r="W20" s="1"/>
      <c r="X20" s="1"/>
    </row>
    <row r="21" spans="1:24" x14ac:dyDescent="0.2">
      <c r="A21" s="8">
        <v>-2</v>
      </c>
      <c r="B21" s="10">
        <v>1</v>
      </c>
      <c r="C21" s="10">
        <f t="shared" si="2"/>
        <v>1</v>
      </c>
      <c r="D21" s="11">
        <f t="shared" si="3"/>
        <v>0</v>
      </c>
      <c r="E21" s="11">
        <f t="shared" si="0"/>
        <v>2.347</v>
      </c>
      <c r="F21" s="5">
        <v>100.20338983050847</v>
      </c>
      <c r="G21" s="9">
        <f t="shared" si="4"/>
        <v>0.2351773559322034</v>
      </c>
      <c r="H21" s="9">
        <f t="shared" si="5"/>
        <v>0.1175886779661017</v>
      </c>
      <c r="I21" s="9">
        <f t="shared" si="9"/>
        <v>9.4070942372881369E-2</v>
      </c>
      <c r="J21" s="24">
        <f t="shared" si="6"/>
        <v>7.0553206779661023E-2</v>
      </c>
      <c r="K21" s="34">
        <f t="shared" si="7"/>
        <v>4.7035471186440685E-2</v>
      </c>
      <c r="L21" s="9">
        <f t="shared" si="8"/>
        <v>2.3517735593220341E-3</v>
      </c>
      <c r="M21" s="1"/>
      <c r="P21" s="1"/>
      <c r="Q21" s="1"/>
      <c r="R21" s="1"/>
      <c r="S21" s="1"/>
      <c r="T21" s="1"/>
      <c r="U21" s="1"/>
      <c r="V21" s="1"/>
      <c r="W21" s="1"/>
      <c r="X21" s="1"/>
    </row>
    <row r="22" spans="1:24" x14ac:dyDescent="0.2">
      <c r="A22" s="8">
        <v>-1</v>
      </c>
      <c r="B22" s="10">
        <v>1</v>
      </c>
      <c r="C22" s="10">
        <f t="shared" si="2"/>
        <v>1</v>
      </c>
      <c r="D22" s="11">
        <f t="shared" si="3"/>
        <v>0</v>
      </c>
      <c r="E22" s="11">
        <f t="shared" si="0"/>
        <v>2.2949999999999999</v>
      </c>
      <c r="F22" s="5">
        <v>137</v>
      </c>
      <c r="G22" s="9">
        <f t="shared" si="4"/>
        <v>0.31441499999999994</v>
      </c>
      <c r="H22" s="9">
        <f t="shared" si="5"/>
        <v>0.15720749999999997</v>
      </c>
      <c r="I22" s="9">
        <f t="shared" si="9"/>
        <v>0.12576599999999999</v>
      </c>
      <c r="J22" s="24">
        <f t="shared" si="6"/>
        <v>9.4324499999999978E-2</v>
      </c>
      <c r="K22" s="34">
        <f t="shared" si="7"/>
        <v>6.2882999999999994E-2</v>
      </c>
      <c r="L22" s="9">
        <f t="shared" si="8"/>
        <v>3.1441499999999996E-3</v>
      </c>
      <c r="M22" s="5"/>
      <c r="P22" s="1"/>
      <c r="Q22" s="1"/>
      <c r="R22" s="1"/>
      <c r="S22" s="1"/>
      <c r="T22" s="1"/>
      <c r="U22" s="1"/>
      <c r="V22" s="1"/>
      <c r="W22" s="1"/>
      <c r="X22" s="1"/>
    </row>
    <row r="23" spans="1:24" x14ac:dyDescent="0.2">
      <c r="A23" s="8">
        <v>0</v>
      </c>
      <c r="B23" s="11">
        <f t="shared" ref="B23:B47" si="10">1.0977*EXP(0.1086*A23)</f>
        <v>1.0976999999999999</v>
      </c>
      <c r="C23" s="10">
        <f t="shared" si="2"/>
        <v>1.0976999999999999</v>
      </c>
      <c r="D23" s="11">
        <f t="shared" si="3"/>
        <v>0</v>
      </c>
      <c r="E23" s="11">
        <f>-0.052*A23+2.243</f>
        <v>2.2429999999999999</v>
      </c>
      <c r="F23" s="5">
        <v>198.37288135593221</v>
      </c>
      <c r="G23" s="9">
        <f t="shared" si="4"/>
        <v>0.48842202431186432</v>
      </c>
      <c r="H23" s="9">
        <f t="shared" si="5"/>
        <v>0.24421101215593216</v>
      </c>
      <c r="I23" s="9">
        <f t="shared" si="9"/>
        <v>0.19536880972474574</v>
      </c>
      <c r="J23" s="24">
        <f t="shared" si="6"/>
        <v>0.14652660729355929</v>
      </c>
      <c r="K23" s="34">
        <f t="shared" si="7"/>
        <v>9.768440486237287E-2</v>
      </c>
      <c r="L23" s="9">
        <f t="shared" si="8"/>
        <v>4.8842202431186432E-3</v>
      </c>
      <c r="M23" s="5"/>
      <c r="P23" s="1"/>
      <c r="Q23" s="1"/>
      <c r="R23" s="1"/>
      <c r="S23" s="1"/>
      <c r="T23" s="1"/>
      <c r="U23" s="1"/>
      <c r="V23" s="1"/>
      <c r="W23" s="1"/>
      <c r="X23" s="1"/>
    </row>
    <row r="24" spans="1:24" x14ac:dyDescent="0.2">
      <c r="A24" s="8">
        <v>1</v>
      </c>
      <c r="B24" s="11">
        <f t="shared" si="10"/>
        <v>1.2236241644010601</v>
      </c>
      <c r="C24" s="10">
        <f t="shared" si="2"/>
        <v>1.2236241644010601</v>
      </c>
      <c r="D24" s="11">
        <f t="shared" si="3"/>
        <v>0</v>
      </c>
      <c r="E24" s="11">
        <f t="shared" ref="E24:E58" si="11">-0.052*A24+2.243</f>
        <v>2.1909999999999998</v>
      </c>
      <c r="F24" s="5">
        <v>250.03389830508473</v>
      </c>
      <c r="G24" s="9">
        <f t="shared" si="4"/>
        <v>0.67033101606912815</v>
      </c>
      <c r="H24" s="9">
        <f t="shared" si="5"/>
        <v>0.33516550803456407</v>
      </c>
      <c r="I24" s="9">
        <f t="shared" si="9"/>
        <v>0.26813240642765129</v>
      </c>
      <c r="J24" s="24">
        <f t="shared" si="6"/>
        <v>0.20109930482073843</v>
      </c>
      <c r="K24" s="34">
        <f t="shared" si="7"/>
        <v>0.13406620321382565</v>
      </c>
      <c r="L24" s="9">
        <f t="shared" si="8"/>
        <v>6.703310160691282E-3</v>
      </c>
      <c r="M24" s="5"/>
      <c r="P24" s="1"/>
      <c r="Q24" s="1"/>
      <c r="R24" s="1"/>
      <c r="S24" s="1"/>
      <c r="T24" s="1"/>
      <c r="U24" s="1"/>
      <c r="V24" s="1"/>
      <c r="W24" s="1"/>
      <c r="X24" s="1"/>
    </row>
    <row r="25" spans="1:24" x14ac:dyDescent="0.2">
      <c r="A25" s="8">
        <v>2</v>
      </c>
      <c r="B25" s="11">
        <f t="shared" si="10"/>
        <v>1.3639938924170476</v>
      </c>
      <c r="C25" s="10">
        <f t="shared" si="2"/>
        <v>1.3639938924170476</v>
      </c>
      <c r="D25" s="11">
        <f t="shared" si="3"/>
        <v>0</v>
      </c>
      <c r="E25" s="11">
        <f t="shared" si="11"/>
        <v>2.1389999999999998</v>
      </c>
      <c r="F25" s="5">
        <v>276.5593220338983</v>
      </c>
      <c r="G25" s="9">
        <f t="shared" si="4"/>
        <v>0.80688475872466126</v>
      </c>
      <c r="H25" s="9">
        <f t="shared" si="5"/>
        <v>0.40344237936233063</v>
      </c>
      <c r="I25" s="9">
        <f t="shared" si="9"/>
        <v>0.32275390348986455</v>
      </c>
      <c r="J25" s="24">
        <f t="shared" si="6"/>
        <v>0.24206542761739835</v>
      </c>
      <c r="K25" s="34">
        <f t="shared" si="7"/>
        <v>0.16137695174493227</v>
      </c>
      <c r="L25" s="9">
        <f t="shared" si="8"/>
        <v>8.068847587246613E-3</v>
      </c>
      <c r="M25" s="5"/>
      <c r="P25" s="1"/>
      <c r="Q25" s="1"/>
      <c r="R25" s="1"/>
      <c r="S25" s="1"/>
      <c r="T25" s="1"/>
      <c r="U25" s="1"/>
      <c r="V25" s="1"/>
      <c r="W25" s="1"/>
      <c r="X25" s="1"/>
    </row>
    <row r="26" spans="1:24" x14ac:dyDescent="0.2">
      <c r="A26" s="8">
        <v>3</v>
      </c>
      <c r="B26" s="11">
        <f t="shared" si="10"/>
        <v>1.5204663267349545</v>
      </c>
      <c r="C26" s="10">
        <f t="shared" si="2"/>
        <v>1.5204663267349545</v>
      </c>
      <c r="D26" s="11">
        <f t="shared" si="3"/>
        <v>0</v>
      </c>
      <c r="E26" s="11">
        <f t="shared" si="11"/>
        <v>2.0869999999999997</v>
      </c>
      <c r="F26" s="5">
        <v>300.50847457627117</v>
      </c>
      <c r="G26" s="9">
        <f t="shared" si="4"/>
        <v>0.95357746541819344</v>
      </c>
      <c r="H26" s="9">
        <f t="shared" si="5"/>
        <v>0.47678873270909672</v>
      </c>
      <c r="I26" s="9">
        <f t="shared" si="9"/>
        <v>0.38143098616727739</v>
      </c>
      <c r="J26" s="24">
        <f t="shared" si="6"/>
        <v>0.286073239625458</v>
      </c>
      <c r="K26" s="34">
        <f t="shared" si="7"/>
        <v>0.19071549308363869</v>
      </c>
      <c r="L26" s="9">
        <f t="shared" si="8"/>
        <v>9.5357746541819347E-3</v>
      </c>
      <c r="M26" s="5"/>
      <c r="P26" s="1"/>
      <c r="Q26" s="1"/>
      <c r="R26" s="1"/>
      <c r="S26" s="1"/>
      <c r="T26" s="1"/>
      <c r="U26" s="1"/>
      <c r="V26" s="1"/>
      <c r="W26" s="1"/>
      <c r="X26" s="1"/>
    </row>
    <row r="27" spans="1:24" x14ac:dyDescent="0.2">
      <c r="A27" s="8">
        <v>4</v>
      </c>
      <c r="B27" s="11">
        <f t="shared" si="10"/>
        <v>1.6948887114430249</v>
      </c>
      <c r="C27" s="10">
        <f t="shared" si="2"/>
        <v>1.6948887114430249</v>
      </c>
      <c r="D27" s="11">
        <f t="shared" si="3"/>
        <v>0</v>
      </c>
      <c r="E27" s="11">
        <f t="shared" si="11"/>
        <v>2.0349999999999997</v>
      </c>
      <c r="F27" s="5">
        <v>347.42372881355931</v>
      </c>
      <c r="G27" s="9">
        <f t="shared" si="4"/>
        <v>1.1982986715689625</v>
      </c>
      <c r="H27" s="9">
        <f t="shared" si="5"/>
        <v>0.59914933578448126</v>
      </c>
      <c r="I27" s="9">
        <f t="shared" si="9"/>
        <v>0.47931946862758501</v>
      </c>
      <c r="J27" s="24">
        <f t="shared" si="6"/>
        <v>0.35948960147068876</v>
      </c>
      <c r="K27" s="34">
        <f t="shared" si="7"/>
        <v>0.23965973431379251</v>
      </c>
      <c r="L27" s="9">
        <f t="shared" si="8"/>
        <v>1.1982986715689625E-2</v>
      </c>
      <c r="M27" s="5"/>
      <c r="P27" s="1"/>
      <c r="Q27" s="1"/>
      <c r="R27" s="1"/>
      <c r="S27" s="1"/>
      <c r="T27" s="1"/>
      <c r="U27" s="1"/>
      <c r="V27" s="1"/>
      <c r="W27" s="1"/>
      <c r="X27" s="1"/>
    </row>
    <row r="28" spans="1:24" x14ac:dyDescent="0.2">
      <c r="A28" s="8">
        <v>5</v>
      </c>
      <c r="B28" s="11">
        <f t="shared" si="10"/>
        <v>1.8893201997743112</v>
      </c>
      <c r="C28" s="10">
        <f t="shared" si="2"/>
        <v>1.8893201997743112</v>
      </c>
      <c r="D28" s="11">
        <f t="shared" si="3"/>
        <v>0</v>
      </c>
      <c r="E28" s="11">
        <f t="shared" si="11"/>
        <v>1.9829999999999999</v>
      </c>
      <c r="F28" s="5">
        <v>394.72881355932202</v>
      </c>
      <c r="G28" s="9">
        <f t="shared" si="4"/>
        <v>1.4788601667260104</v>
      </c>
      <c r="H28" s="9">
        <f t="shared" si="5"/>
        <v>0.7394300833630052</v>
      </c>
      <c r="I28" s="9">
        <f t="shared" si="9"/>
        <v>0.59154406669040416</v>
      </c>
      <c r="J28" s="24">
        <f t="shared" si="6"/>
        <v>0.44365805001780312</v>
      </c>
      <c r="K28" s="34">
        <f t="shared" si="7"/>
        <v>0.29577203334520208</v>
      </c>
      <c r="L28" s="9">
        <f t="shared" si="8"/>
        <v>1.4788601667260105E-2</v>
      </c>
      <c r="M28" s="5"/>
      <c r="P28" s="1"/>
      <c r="Q28" s="1"/>
      <c r="R28" s="1"/>
      <c r="S28" s="1"/>
      <c r="T28" s="1"/>
      <c r="U28" s="1"/>
      <c r="V28" s="1"/>
      <c r="W28" s="1"/>
      <c r="X28" s="1"/>
    </row>
    <row r="29" spans="1:24" x14ac:dyDescent="0.2">
      <c r="A29" s="8">
        <v>6</v>
      </c>
      <c r="B29" s="11">
        <f t="shared" si="10"/>
        <v>2.1060561635555124</v>
      </c>
      <c r="C29" s="10">
        <f t="shared" si="2"/>
        <v>2.1060561635555124</v>
      </c>
      <c r="D29" s="11">
        <f t="shared" si="3"/>
        <v>0</v>
      </c>
      <c r="E29" s="11">
        <f t="shared" si="11"/>
        <v>1.9309999999999998</v>
      </c>
      <c r="F29" s="5">
        <v>441.05084745762713</v>
      </c>
      <c r="G29" s="9">
        <f t="shared" si="4"/>
        <v>1.7936631394136986</v>
      </c>
      <c r="H29" s="9">
        <f t="shared" si="5"/>
        <v>0.8968315697068493</v>
      </c>
      <c r="I29" s="9">
        <f t="shared" si="9"/>
        <v>0.71746525576547948</v>
      </c>
      <c r="J29" s="24">
        <f t="shared" si="6"/>
        <v>0.53809894182410956</v>
      </c>
      <c r="K29" s="34">
        <f t="shared" si="7"/>
        <v>0.35873262788273974</v>
      </c>
      <c r="L29" s="9">
        <f t="shared" si="8"/>
        <v>1.7936631394136985E-2</v>
      </c>
      <c r="M29" s="5"/>
      <c r="P29" s="1"/>
      <c r="Q29" s="1"/>
      <c r="R29" s="1"/>
      <c r="S29" s="1"/>
      <c r="T29" s="1"/>
      <c r="U29" s="1"/>
      <c r="V29" s="1"/>
      <c r="W29" s="1"/>
      <c r="X29" s="1"/>
    </row>
    <row r="30" spans="1:24" x14ac:dyDescent="0.2">
      <c r="A30" s="8">
        <v>7</v>
      </c>
      <c r="B30" s="11">
        <f t="shared" si="10"/>
        <v>2.3476552913476514</v>
      </c>
      <c r="C30" s="10">
        <f t="shared" si="2"/>
        <v>2.3476552913476514</v>
      </c>
      <c r="D30" s="11">
        <f t="shared" si="3"/>
        <v>0</v>
      </c>
      <c r="E30" s="11">
        <f t="shared" si="11"/>
        <v>1.879</v>
      </c>
      <c r="F30" s="5">
        <v>464.38983050847457</v>
      </c>
      <c r="G30" s="9">
        <f t="shared" si="4"/>
        <v>2.0485369892987264</v>
      </c>
      <c r="H30" s="9">
        <f t="shared" si="5"/>
        <v>1.0242684946493632</v>
      </c>
      <c r="I30" s="9">
        <f t="shared" si="9"/>
        <v>0.81941479571949061</v>
      </c>
      <c r="J30" s="24">
        <f t="shared" si="6"/>
        <v>0.6145610967896179</v>
      </c>
      <c r="K30" s="34">
        <f t="shared" si="7"/>
        <v>0.4097073978597453</v>
      </c>
      <c r="L30" s="9">
        <f t="shared" si="8"/>
        <v>2.0485369892987264E-2</v>
      </c>
      <c r="M30" s="5"/>
      <c r="P30" s="1"/>
      <c r="Q30" s="1"/>
      <c r="R30" s="1"/>
      <c r="S30" s="1"/>
      <c r="T30" s="1"/>
      <c r="U30" s="1"/>
      <c r="V30" s="1"/>
      <c r="W30" s="1"/>
      <c r="X30" s="1"/>
    </row>
    <row r="31" spans="1:24" x14ac:dyDescent="0.2">
      <c r="A31" s="8">
        <v>8</v>
      </c>
      <c r="B31" s="11">
        <f t="shared" si="10"/>
        <v>2.6169697951872077</v>
      </c>
      <c r="C31" s="10">
        <f t="shared" si="2"/>
        <v>2.6169697951872077</v>
      </c>
      <c r="D31" s="11">
        <f t="shared" si="3"/>
        <v>0</v>
      </c>
      <c r="E31" s="11">
        <f t="shared" si="11"/>
        <v>1.827</v>
      </c>
      <c r="F31" s="5">
        <v>464.30508474576271</v>
      </c>
      <c r="G31" s="9">
        <f t="shared" si="4"/>
        <v>2.2199372428850466</v>
      </c>
      <c r="H31" s="9">
        <f t="shared" si="5"/>
        <v>1.1099686214425233</v>
      </c>
      <c r="I31" s="9">
        <f t="shared" si="9"/>
        <v>0.88797489715401867</v>
      </c>
      <c r="J31" s="24">
        <f t="shared" si="6"/>
        <v>0.66598117286551395</v>
      </c>
      <c r="K31" s="34">
        <f t="shared" si="7"/>
        <v>0.44398744857700934</v>
      </c>
      <c r="L31" s="9">
        <f t="shared" si="8"/>
        <v>2.2199372428850467E-2</v>
      </c>
      <c r="M31" s="5"/>
      <c r="P31" s="1"/>
      <c r="Q31" s="1"/>
      <c r="R31" s="1"/>
      <c r="S31" s="1"/>
      <c r="T31" s="1"/>
      <c r="U31" s="1"/>
      <c r="V31" s="1"/>
      <c r="W31" s="1"/>
      <c r="X31" s="1"/>
    </row>
    <row r="32" spans="1:24" x14ac:dyDescent="0.2">
      <c r="A32" s="8">
        <v>9</v>
      </c>
      <c r="B32" s="11">
        <f t="shared" si="10"/>
        <v>2.9171790825350836</v>
      </c>
      <c r="C32" s="10">
        <f t="shared" si="2"/>
        <v>2.9</v>
      </c>
      <c r="D32" s="11">
        <f t="shared" si="3"/>
        <v>1.7179082535083712E-2</v>
      </c>
      <c r="E32" s="11">
        <f t="shared" si="11"/>
        <v>1.7749999999999999</v>
      </c>
      <c r="F32" s="5">
        <v>458.89830508474574</v>
      </c>
      <c r="G32" s="9">
        <f t="shared" si="4"/>
        <v>2.3761721524721415</v>
      </c>
      <c r="H32" s="9">
        <f t="shared" si="5"/>
        <v>1.1950826397602772</v>
      </c>
      <c r="I32" s="9">
        <f t="shared" si="9"/>
        <v>0.95886473721790444</v>
      </c>
      <c r="J32" s="24">
        <f t="shared" si="6"/>
        <v>0.72264683467553148</v>
      </c>
      <c r="K32" s="34">
        <f t="shared" si="7"/>
        <v>0.48642893213315874</v>
      </c>
      <c r="L32" s="9">
        <f t="shared" si="8"/>
        <v>3.7614917302650333E-2</v>
      </c>
      <c r="M32" s="5"/>
      <c r="P32" s="1"/>
      <c r="Q32" s="1"/>
      <c r="R32" s="1"/>
      <c r="S32" s="1"/>
      <c r="T32" s="1"/>
      <c r="U32" s="1"/>
      <c r="V32" s="1"/>
      <c r="W32" s="1"/>
      <c r="X32" s="1"/>
    </row>
    <row r="33" spans="1:24" x14ac:dyDescent="0.2">
      <c r="A33" s="8">
        <v>10</v>
      </c>
      <c r="B33" s="11">
        <f t="shared" si="10"/>
        <v>3.2518272909494796</v>
      </c>
      <c r="C33" s="10">
        <f t="shared" si="2"/>
        <v>2.9</v>
      </c>
      <c r="D33" s="11">
        <f t="shared" si="3"/>
        <v>0.35182729094947973</v>
      </c>
      <c r="E33" s="11">
        <f t="shared" si="11"/>
        <v>1.7229999999999999</v>
      </c>
      <c r="F33" s="5">
        <v>457.03389830508473</v>
      </c>
      <c r="G33" s="9">
        <f t="shared" si="4"/>
        <v>2.5607145077538984</v>
      </c>
      <c r="H33" s="9">
        <f t="shared" si="5"/>
        <v>1.4188838679233902</v>
      </c>
      <c r="I33" s="9">
        <f t="shared" si="9"/>
        <v>1.1905177399572886</v>
      </c>
      <c r="J33" s="24">
        <f t="shared" si="6"/>
        <v>0.96215161199118682</v>
      </c>
      <c r="K33" s="34">
        <f t="shared" si="7"/>
        <v>0.73378548402508526</v>
      </c>
      <c r="L33" s="9">
        <f t="shared" si="8"/>
        <v>0.29988984088949211</v>
      </c>
      <c r="M33" s="5"/>
      <c r="P33" s="1"/>
      <c r="Q33" s="1"/>
      <c r="R33" s="1"/>
      <c r="S33" s="1"/>
      <c r="T33" s="1"/>
      <c r="U33" s="1"/>
      <c r="V33" s="1"/>
      <c r="W33" s="1"/>
      <c r="X33" s="1"/>
    </row>
    <row r="34" spans="1:24" x14ac:dyDescent="0.2">
      <c r="A34" s="8">
        <v>11</v>
      </c>
      <c r="B34" s="11">
        <f t="shared" si="10"/>
        <v>3.6248651286003652</v>
      </c>
      <c r="C34" s="10">
        <f t="shared" si="2"/>
        <v>2.9</v>
      </c>
      <c r="D34" s="11">
        <f t="shared" si="3"/>
        <v>0.72486512860036534</v>
      </c>
      <c r="E34" s="11">
        <f t="shared" si="11"/>
        <v>1.6709999999999998</v>
      </c>
      <c r="F34" s="5">
        <v>447.57627118644069</v>
      </c>
      <c r="G34" s="9">
        <f t="shared" si="4"/>
        <v>2.7110364453650369</v>
      </c>
      <c r="H34" s="9">
        <f t="shared" si="5"/>
        <v>1.6265815190938504</v>
      </c>
      <c r="I34" s="9">
        <f t="shared" si="9"/>
        <v>1.4096905338396133</v>
      </c>
      <c r="J34" s="24">
        <f t="shared" si="6"/>
        <v>1.192799548585376</v>
      </c>
      <c r="K34" s="34">
        <f t="shared" si="7"/>
        <v>0.97590856333113885</v>
      </c>
      <c r="L34" s="9">
        <f t="shared" si="8"/>
        <v>0.56381569134808807</v>
      </c>
      <c r="M34" s="5"/>
      <c r="P34" s="1"/>
      <c r="Q34" s="1"/>
      <c r="R34" s="1"/>
      <c r="S34" s="1"/>
      <c r="T34" s="1"/>
      <c r="U34" s="1"/>
      <c r="V34" s="1"/>
      <c r="W34" s="1"/>
      <c r="X34" s="1"/>
    </row>
    <row r="35" spans="1:24" x14ac:dyDescent="0.2">
      <c r="A35" s="8">
        <v>12</v>
      </c>
      <c r="B35" s="11">
        <f t="shared" si="10"/>
        <v>4.0406965145760809</v>
      </c>
      <c r="C35" s="10">
        <f t="shared" si="2"/>
        <v>2.9</v>
      </c>
      <c r="D35" s="11">
        <f t="shared" si="3"/>
        <v>1.140696514576081</v>
      </c>
      <c r="E35" s="11">
        <f t="shared" si="11"/>
        <v>1.6189999999999998</v>
      </c>
      <c r="F35" s="5">
        <v>447.13559322033899</v>
      </c>
      <c r="G35" s="9">
        <f t="shared" si="4"/>
        <v>2.9251108183376293</v>
      </c>
      <c r="H35" s="9">
        <f t="shared" si="5"/>
        <v>1.8754376564732227</v>
      </c>
      <c r="I35" s="9">
        <f t="shared" si="9"/>
        <v>1.6655030241003415</v>
      </c>
      <c r="J35" s="24">
        <f t="shared" si="6"/>
        <v>1.45556839172746</v>
      </c>
      <c r="K35" s="34">
        <f t="shared" si="7"/>
        <v>1.2456337593545788</v>
      </c>
      <c r="L35" s="9">
        <f t="shared" si="8"/>
        <v>0.84675795784610419</v>
      </c>
      <c r="M35" s="5"/>
      <c r="P35" s="1"/>
      <c r="Q35" s="1"/>
      <c r="R35" s="1"/>
      <c r="S35" s="1"/>
      <c r="T35" s="1"/>
      <c r="U35" s="1"/>
      <c r="V35" s="1"/>
      <c r="W35" s="1"/>
      <c r="X35" s="1"/>
    </row>
    <row r="36" spans="1:24" x14ac:dyDescent="0.2">
      <c r="A36" s="8">
        <v>13</v>
      </c>
      <c r="B36" s="11">
        <f t="shared" si="10"/>
        <v>4.5042305695968246</v>
      </c>
      <c r="C36" s="10">
        <f t="shared" si="2"/>
        <v>2.9</v>
      </c>
      <c r="D36" s="11">
        <f t="shared" si="3"/>
        <v>1.6042305695968246</v>
      </c>
      <c r="E36" s="11">
        <f t="shared" si="11"/>
        <v>1.5669999999999999</v>
      </c>
      <c r="F36" s="5">
        <v>445.25423728813558</v>
      </c>
      <c r="G36" s="9">
        <f t="shared" si="4"/>
        <v>3.1426619792916024</v>
      </c>
      <c r="H36" s="9">
        <f t="shared" si="5"/>
        <v>2.1309775640373649</v>
      </c>
      <c r="I36" s="9">
        <f t="shared" si="9"/>
        <v>1.9286406809865178</v>
      </c>
      <c r="J36" s="24">
        <f t="shared" si="6"/>
        <v>1.7263037979356701</v>
      </c>
      <c r="K36" s="34">
        <f t="shared" si="7"/>
        <v>1.5239669148848227</v>
      </c>
      <c r="L36" s="9">
        <f t="shared" si="8"/>
        <v>1.1395268370882126</v>
      </c>
      <c r="M36" s="5"/>
      <c r="P36" s="1"/>
      <c r="Q36" s="1"/>
      <c r="R36" s="1"/>
      <c r="S36" s="1"/>
      <c r="T36" s="1"/>
      <c r="U36" s="1"/>
      <c r="V36" s="1"/>
      <c r="W36" s="1"/>
      <c r="X36" s="1"/>
    </row>
    <row r="37" spans="1:24" x14ac:dyDescent="0.2">
      <c r="A37" s="8">
        <v>14</v>
      </c>
      <c r="B37" s="11">
        <f t="shared" si="10"/>
        <v>5.0209395709142992</v>
      </c>
      <c r="C37" s="10">
        <f t="shared" si="2"/>
        <v>2.9</v>
      </c>
      <c r="D37" s="11">
        <f t="shared" si="3"/>
        <v>2.1209395709142993</v>
      </c>
      <c r="E37" s="11">
        <f t="shared" si="11"/>
        <v>1.5149999999999999</v>
      </c>
      <c r="F37" s="5">
        <v>446.27118644067798</v>
      </c>
      <c r="G37" s="9">
        <f t="shared" si="4"/>
        <v>3.3946614989286923</v>
      </c>
      <c r="H37" s="9">
        <f t="shared" si="5"/>
        <v>2.4143152701151331</v>
      </c>
      <c r="I37" s="9">
        <f t="shared" si="9"/>
        <v>2.2182460243524211</v>
      </c>
      <c r="J37" s="24">
        <f t="shared" si="6"/>
        <v>2.0221767785897091</v>
      </c>
      <c r="K37" s="34">
        <f t="shared" si="7"/>
        <v>1.8261075328269976</v>
      </c>
      <c r="L37" s="9">
        <f t="shared" si="8"/>
        <v>1.4535759658778449</v>
      </c>
      <c r="M37" s="5"/>
      <c r="P37" s="1"/>
      <c r="Q37" s="1"/>
      <c r="R37" s="1"/>
      <c r="S37" s="1"/>
      <c r="T37" s="1"/>
      <c r="U37" s="1"/>
      <c r="V37" s="1"/>
      <c r="W37" s="1"/>
      <c r="X37" s="1"/>
    </row>
    <row r="38" spans="1:24" x14ac:dyDescent="0.2">
      <c r="A38" s="8">
        <v>15</v>
      </c>
      <c r="B38" s="11">
        <f t="shared" si="10"/>
        <v>5.5969235555873444</v>
      </c>
      <c r="C38" s="10">
        <f t="shared" si="2"/>
        <v>2.9</v>
      </c>
      <c r="D38" s="11">
        <f t="shared" si="3"/>
        <v>2.6969235555873445</v>
      </c>
      <c r="E38" s="11">
        <f t="shared" si="11"/>
        <v>1.4630000000000001</v>
      </c>
      <c r="F38" s="5">
        <v>439.54237288135596</v>
      </c>
      <c r="G38" s="9">
        <f t="shared" si="4"/>
        <v>3.5991044434506647</v>
      </c>
      <c r="H38" s="9">
        <f t="shared" si="5"/>
        <v>2.6666812307388001</v>
      </c>
      <c r="I38" s="9">
        <f t="shared" si="9"/>
        <v>2.480196588196427</v>
      </c>
      <c r="J38" s="24">
        <f t="shared" si="6"/>
        <v>2.2937119456540542</v>
      </c>
      <c r="K38" s="34">
        <f t="shared" si="7"/>
        <v>2.1072273031116815</v>
      </c>
      <c r="L38" s="9">
        <f t="shared" si="8"/>
        <v>1.7529064822811729</v>
      </c>
      <c r="M38" s="5"/>
      <c r="O38" s="1"/>
      <c r="P38" s="1"/>
      <c r="Q38" s="1"/>
      <c r="R38" s="1"/>
      <c r="S38" s="1"/>
      <c r="T38" s="1"/>
      <c r="U38" s="1"/>
      <c r="V38" s="1"/>
      <c r="W38" s="1"/>
    </row>
    <row r="39" spans="1:24" s="16" customFormat="1" x14ac:dyDescent="0.2">
      <c r="A39" s="8">
        <v>16</v>
      </c>
      <c r="B39" s="11">
        <f t="shared" si="10"/>
        <v>6.2389823348111291</v>
      </c>
      <c r="C39" s="10">
        <f t="shared" si="2"/>
        <v>2.9</v>
      </c>
      <c r="D39" s="11">
        <f t="shared" si="3"/>
        <v>3.3389823348111292</v>
      </c>
      <c r="E39" s="11">
        <f t="shared" si="11"/>
        <v>1.411</v>
      </c>
      <c r="F39" s="5">
        <v>399.15254237288133</v>
      </c>
      <c r="G39" s="9">
        <f t="shared" si="4"/>
        <v>3.5138212873314529</v>
      </c>
      <c r="H39" s="9">
        <f t="shared" si="5"/>
        <v>2.6971751432636566</v>
      </c>
      <c r="I39" s="9">
        <f t="shared" si="9"/>
        <v>2.5338459144500973</v>
      </c>
      <c r="J39" s="24">
        <f t="shared" si="6"/>
        <v>2.3705166856365381</v>
      </c>
      <c r="K39" s="34">
        <f t="shared" si="7"/>
        <v>2.2071874568229788</v>
      </c>
      <c r="L39" s="9">
        <f t="shared" si="8"/>
        <v>1.896861922077216</v>
      </c>
      <c r="M39" s="5"/>
      <c r="N39" s="15"/>
      <c r="O39" s="15"/>
    </row>
    <row r="40" spans="1:24" x14ac:dyDescent="0.2">
      <c r="A40" s="8">
        <v>17</v>
      </c>
      <c r="B40" s="11">
        <f t="shared" si="10"/>
        <v>6.9546957694691125</v>
      </c>
      <c r="C40" s="10">
        <f t="shared" si="2"/>
        <v>2.9</v>
      </c>
      <c r="D40" s="11">
        <f t="shared" si="3"/>
        <v>4.054695769469113</v>
      </c>
      <c r="E40" s="11">
        <f t="shared" si="11"/>
        <v>1.359</v>
      </c>
      <c r="F40" s="5">
        <v>352.50847457627117</v>
      </c>
      <c r="G40" s="9">
        <f t="shared" si="4"/>
        <v>3.3317097185023026</v>
      </c>
      <c r="H40" s="9">
        <f t="shared" si="5"/>
        <v>2.6370741439260321</v>
      </c>
      <c r="I40" s="9">
        <f t="shared" si="9"/>
        <v>2.4981470290107777</v>
      </c>
      <c r="J40" s="24">
        <f t="shared" si="6"/>
        <v>2.3592199140955232</v>
      </c>
      <c r="K40" s="34">
        <f t="shared" si="7"/>
        <v>2.2202927991802692</v>
      </c>
      <c r="L40" s="9">
        <f t="shared" si="8"/>
        <v>1.9563312808412863</v>
      </c>
      <c r="M40" s="5"/>
      <c r="N40" s="1"/>
      <c r="O40" s="1"/>
    </row>
    <row r="41" spans="1:24" x14ac:dyDescent="0.2">
      <c r="A41" s="8">
        <v>18</v>
      </c>
      <c r="B41" s="11">
        <f t="shared" si="10"/>
        <v>7.7525132546052955</v>
      </c>
      <c r="C41" s="10">
        <f t="shared" si="2"/>
        <v>2.9</v>
      </c>
      <c r="D41" s="11">
        <f t="shared" si="3"/>
        <v>4.8525132546052951</v>
      </c>
      <c r="E41" s="11">
        <f t="shared" si="11"/>
        <v>1.3069999999999999</v>
      </c>
      <c r="F41" s="5">
        <v>296.76271186440675</v>
      </c>
      <c r="G41" s="9">
        <f t="shared" si="4"/>
        <v>3.0069585123622633</v>
      </c>
      <c r="H41" s="9">
        <f t="shared" si="5"/>
        <v>2.4445486589724328</v>
      </c>
      <c r="I41" s="9">
        <f t="shared" si="9"/>
        <v>2.3320666882944669</v>
      </c>
      <c r="J41" s="24">
        <f t="shared" si="6"/>
        <v>2.2195847176165007</v>
      </c>
      <c r="K41" s="34">
        <f t="shared" si="7"/>
        <v>2.1071027469385344</v>
      </c>
      <c r="L41" s="9">
        <f t="shared" si="8"/>
        <v>1.8933870026503989</v>
      </c>
      <c r="M41" s="5"/>
      <c r="N41" s="1"/>
      <c r="O41" s="1"/>
    </row>
    <row r="42" spans="1:24" x14ac:dyDescent="0.2">
      <c r="A42" s="8">
        <v>19</v>
      </c>
      <c r="B42" s="11">
        <f t="shared" si="10"/>
        <v>8.6418534692307087</v>
      </c>
      <c r="C42" s="10">
        <f t="shared" si="2"/>
        <v>2.9</v>
      </c>
      <c r="D42" s="11">
        <f t="shared" si="3"/>
        <v>5.7418534692307084</v>
      </c>
      <c r="E42" s="11">
        <f t="shared" si="11"/>
        <v>1.2549999999999999</v>
      </c>
      <c r="F42" s="5">
        <v>238.71186440677965</v>
      </c>
      <c r="G42" s="9">
        <f t="shared" si="4"/>
        <v>2.5889557567306749</v>
      </c>
      <c r="H42" s="9">
        <f t="shared" si="5"/>
        <v>2.1545598414764378</v>
      </c>
      <c r="I42" s="9">
        <f t="shared" si="9"/>
        <v>2.0676806584255902</v>
      </c>
      <c r="J42" s="24">
        <f t="shared" si="6"/>
        <v>1.9808014753747427</v>
      </c>
      <c r="K42" s="34">
        <f t="shared" si="7"/>
        <v>1.8939222923238952</v>
      </c>
      <c r="L42" s="9">
        <f t="shared" si="8"/>
        <v>1.7288518445272851</v>
      </c>
      <c r="M42" s="5"/>
      <c r="N42" s="1"/>
      <c r="O42" s="1"/>
    </row>
    <row r="43" spans="1:24" x14ac:dyDescent="0.2">
      <c r="A43" s="8">
        <v>20</v>
      </c>
      <c r="B43" s="11">
        <f t="shared" si="10"/>
        <v>9.6332155690660759</v>
      </c>
      <c r="C43" s="10">
        <f t="shared" si="2"/>
        <v>2.9</v>
      </c>
      <c r="D43" s="11">
        <f t="shared" si="3"/>
        <v>6.7332155690660755</v>
      </c>
      <c r="E43" s="11">
        <f t="shared" si="11"/>
        <v>1.2029999999999998</v>
      </c>
      <c r="F43" s="5">
        <v>177.81355932203391</v>
      </c>
      <c r="G43" s="9">
        <f t="shared" si="4"/>
        <v>2.0606383667066415</v>
      </c>
      <c r="H43" s="9">
        <f t="shared" si="5"/>
        <v>1.7504692845032517</v>
      </c>
      <c r="I43" s="9">
        <f t="shared" si="9"/>
        <v>1.6884354680625737</v>
      </c>
      <c r="J43" s="24">
        <f t="shared" si="6"/>
        <v>1.6264016516218958</v>
      </c>
      <c r="K43" s="34">
        <f t="shared" si="7"/>
        <v>1.5643678351812178</v>
      </c>
      <c r="L43" s="9">
        <f t="shared" si="8"/>
        <v>1.4465035839439297</v>
      </c>
      <c r="M43" s="5"/>
      <c r="N43" s="1"/>
      <c r="O43" s="1"/>
    </row>
    <row r="44" spans="1:24" x14ac:dyDescent="0.2">
      <c r="A44" s="8">
        <v>21</v>
      </c>
      <c r="B44" s="11">
        <f t="shared" si="10"/>
        <v>10.738303134912785</v>
      </c>
      <c r="C44" s="10">
        <f t="shared" si="2"/>
        <v>2.9</v>
      </c>
      <c r="D44" s="11">
        <f t="shared" si="3"/>
        <v>7.8383031349127847</v>
      </c>
      <c r="E44" s="11">
        <f t="shared" si="11"/>
        <v>1.151</v>
      </c>
      <c r="F44" s="5">
        <v>138.05084745762713</v>
      </c>
      <c r="G44" s="9">
        <f t="shared" si="4"/>
        <v>1.7062790570843764</v>
      </c>
      <c r="H44" s="9">
        <f t="shared" si="5"/>
        <v>1.4758790952199696</v>
      </c>
      <c r="I44" s="9">
        <f t="shared" si="9"/>
        <v>1.4297991028470882</v>
      </c>
      <c r="J44" s="24">
        <f t="shared" si="6"/>
        <v>1.3837191104742068</v>
      </c>
      <c r="K44" s="34">
        <f t="shared" si="7"/>
        <v>1.3376391181013256</v>
      </c>
      <c r="L44" s="9">
        <f t="shared" si="8"/>
        <v>1.2500871325928509</v>
      </c>
      <c r="M44" s="5"/>
      <c r="N44" s="1"/>
      <c r="O44" s="1"/>
    </row>
    <row r="45" spans="1:24" x14ac:dyDescent="0.2">
      <c r="A45" s="8">
        <v>22</v>
      </c>
      <c r="B45" s="11">
        <f t="shared" si="10"/>
        <v>11.970162339931624</v>
      </c>
      <c r="C45" s="10">
        <f t="shared" si="2"/>
        <v>2.9</v>
      </c>
      <c r="D45" s="11">
        <f t="shared" si="3"/>
        <v>9.070162339931624</v>
      </c>
      <c r="E45" s="11">
        <f t="shared" si="11"/>
        <v>1.099</v>
      </c>
      <c r="F45" s="5">
        <v>103.08474576271186</v>
      </c>
      <c r="G45" s="9">
        <f t="shared" si="4"/>
        <v>1.3561013145637133</v>
      </c>
      <c r="H45" s="9">
        <f t="shared" si="5"/>
        <v>1.1918306179535438</v>
      </c>
      <c r="I45" s="9">
        <f t="shared" si="9"/>
        <v>1.15897647863151</v>
      </c>
      <c r="J45" s="24">
        <f t="shared" si="6"/>
        <v>1.1261223393094761</v>
      </c>
      <c r="K45" s="34">
        <f t="shared" si="7"/>
        <v>1.0932681999874421</v>
      </c>
      <c r="L45" s="9">
        <f t="shared" si="8"/>
        <v>1.0308453352755778</v>
      </c>
      <c r="M45" s="5"/>
      <c r="N45" s="1"/>
      <c r="O45" s="1"/>
    </row>
    <row r="46" spans="1:24" x14ac:dyDescent="0.2">
      <c r="A46" s="8">
        <v>23</v>
      </c>
      <c r="B46" s="11">
        <f t="shared" si="10"/>
        <v>13.343335966970825</v>
      </c>
      <c r="C46" s="10">
        <f t="shared" si="2"/>
        <v>2.9</v>
      </c>
      <c r="D46" s="11">
        <f t="shared" si="3"/>
        <v>10.443335966970825</v>
      </c>
      <c r="E46" s="11">
        <f t="shared" si="11"/>
        <v>1.0469999999999999</v>
      </c>
      <c r="F46" s="5">
        <v>80.169491525423723</v>
      </c>
      <c r="G46" s="9">
        <f t="shared" si="4"/>
        <v>1.1200056973320218</v>
      </c>
      <c r="H46" s="9">
        <f t="shared" si="5"/>
        <v>0.99829638377269969</v>
      </c>
      <c r="I46" s="9">
        <f t="shared" si="9"/>
        <v>0.97395452106083535</v>
      </c>
      <c r="J46" s="24">
        <f t="shared" si="6"/>
        <v>0.94961265834897091</v>
      </c>
      <c r="K46" s="34">
        <f t="shared" si="7"/>
        <v>0.92527079563710646</v>
      </c>
      <c r="L46" s="9">
        <f t="shared" si="8"/>
        <v>0.87902125648456408</v>
      </c>
      <c r="M46" s="5"/>
      <c r="N46" s="1"/>
      <c r="O46" s="1"/>
    </row>
    <row r="47" spans="1:24" x14ac:dyDescent="0.2">
      <c r="A47" s="8">
        <v>24</v>
      </c>
      <c r="B47" s="11">
        <f t="shared" si="10"/>
        <v>14.874035094203593</v>
      </c>
      <c r="C47" s="10">
        <f t="shared" si="2"/>
        <v>2.9</v>
      </c>
      <c r="D47" s="11">
        <f t="shared" si="3"/>
        <v>11.974035094203593</v>
      </c>
      <c r="E47" s="11">
        <f t="shared" si="11"/>
        <v>0.99499999999999988</v>
      </c>
      <c r="F47" s="5">
        <v>59.915254237288138</v>
      </c>
      <c r="G47" s="9">
        <f t="shared" si="4"/>
        <v>0.88672568623253634</v>
      </c>
      <c r="H47" s="9">
        <f t="shared" si="5"/>
        <v>0.80028295318168896</v>
      </c>
      <c r="I47" s="9">
        <f t="shared" si="9"/>
        <v>0.78299440657151942</v>
      </c>
      <c r="J47" s="24">
        <f t="shared" si="6"/>
        <v>0.76570585996134999</v>
      </c>
      <c r="K47" s="34">
        <f t="shared" si="7"/>
        <v>0.74841731335118045</v>
      </c>
      <c r="L47" s="9">
        <f t="shared" si="8"/>
        <v>0.71556907479185838</v>
      </c>
      <c r="M47" s="5"/>
      <c r="N47" s="1"/>
      <c r="O47" s="1"/>
    </row>
    <row r="48" spans="1:24" x14ac:dyDescent="0.2">
      <c r="A48" s="8">
        <v>25</v>
      </c>
      <c r="B48" s="10">
        <v>15</v>
      </c>
      <c r="C48" s="10">
        <f t="shared" si="2"/>
        <v>2.9</v>
      </c>
      <c r="D48" s="11">
        <f t="shared" si="3"/>
        <v>12.1</v>
      </c>
      <c r="E48" s="11">
        <f t="shared" si="11"/>
        <v>0.94299999999999984</v>
      </c>
      <c r="F48" s="5">
        <v>46.016949152542374</v>
      </c>
      <c r="G48" s="9">
        <f t="shared" si="4"/>
        <v>0.65090974576271177</v>
      </c>
      <c r="H48" s="9">
        <f t="shared" si="5"/>
        <v>0.58798847033898294</v>
      </c>
      <c r="I48" s="9">
        <f t="shared" si="9"/>
        <v>0.57540421525423713</v>
      </c>
      <c r="J48" s="24">
        <f t="shared" si="6"/>
        <v>0.56281996016949143</v>
      </c>
      <c r="K48" s="34">
        <f t="shared" si="7"/>
        <v>0.55023570508474562</v>
      </c>
      <c r="L48" s="9">
        <f t="shared" si="8"/>
        <v>0.52632562042372866</v>
      </c>
      <c r="M48" s="1"/>
      <c r="N48" s="1"/>
      <c r="O48" s="1"/>
    </row>
    <row r="49" spans="1:15" x14ac:dyDescent="0.2">
      <c r="A49" s="8">
        <v>26</v>
      </c>
      <c r="B49" s="10">
        <v>15</v>
      </c>
      <c r="C49" s="10">
        <f t="shared" si="2"/>
        <v>2.9</v>
      </c>
      <c r="D49" s="11">
        <f t="shared" si="3"/>
        <v>12.1</v>
      </c>
      <c r="E49" s="11">
        <f t="shared" si="11"/>
        <v>0.89100000000000001</v>
      </c>
      <c r="F49" s="5">
        <v>35.118644067796609</v>
      </c>
      <c r="G49" s="9">
        <f t="shared" si="4"/>
        <v>0.4693606779661017</v>
      </c>
      <c r="H49" s="9">
        <f t="shared" si="5"/>
        <v>0.42398914576271191</v>
      </c>
      <c r="I49" s="9">
        <f t="shared" si="9"/>
        <v>0.41491483932203393</v>
      </c>
      <c r="J49" s="24">
        <f t="shared" si="6"/>
        <v>0.40584053288135596</v>
      </c>
      <c r="K49" s="34">
        <f t="shared" si="7"/>
        <v>0.39676622644067799</v>
      </c>
      <c r="L49" s="9">
        <f t="shared" si="8"/>
        <v>0.37952504420338984</v>
      </c>
      <c r="M49" s="1"/>
      <c r="N49" s="1"/>
      <c r="O49" s="1"/>
    </row>
    <row r="50" spans="1:15" x14ac:dyDescent="0.2">
      <c r="A50" s="8">
        <v>27</v>
      </c>
      <c r="B50" s="10">
        <v>15</v>
      </c>
      <c r="C50" s="10">
        <f t="shared" si="2"/>
        <v>2.9</v>
      </c>
      <c r="D50" s="11">
        <f t="shared" si="3"/>
        <v>12.1</v>
      </c>
      <c r="E50" s="11">
        <f t="shared" si="11"/>
        <v>0.83899999999999997</v>
      </c>
      <c r="F50" s="5">
        <v>25.491525423728813</v>
      </c>
      <c r="G50" s="9">
        <f t="shared" si="4"/>
        <v>0.32081084745762711</v>
      </c>
      <c r="H50" s="9">
        <f t="shared" si="5"/>
        <v>0.28979913220338982</v>
      </c>
      <c r="I50" s="9">
        <f t="shared" si="9"/>
        <v>0.28359678915254238</v>
      </c>
      <c r="J50" s="24">
        <f t="shared" si="6"/>
        <v>0.27739444610169489</v>
      </c>
      <c r="K50" s="34">
        <f t="shared" si="7"/>
        <v>0.27119210305084746</v>
      </c>
      <c r="L50" s="9">
        <f t="shared" si="8"/>
        <v>0.25940765125423726</v>
      </c>
      <c r="M50" s="1"/>
      <c r="N50" s="1"/>
      <c r="O50" s="1"/>
    </row>
    <row r="51" spans="1:15" x14ac:dyDescent="0.2">
      <c r="A51" s="8">
        <v>28</v>
      </c>
      <c r="B51" s="10">
        <v>15</v>
      </c>
      <c r="C51" s="10">
        <f t="shared" si="2"/>
        <v>2.9</v>
      </c>
      <c r="D51" s="11">
        <f t="shared" si="3"/>
        <v>12.1</v>
      </c>
      <c r="E51" s="11">
        <f t="shared" si="11"/>
        <v>0.78699999999999992</v>
      </c>
      <c r="F51" s="5">
        <v>17.966101694915253</v>
      </c>
      <c r="G51" s="9">
        <f t="shared" si="4"/>
        <v>0.21208983050847452</v>
      </c>
      <c r="H51" s="9">
        <f t="shared" si="5"/>
        <v>0.191587813559322</v>
      </c>
      <c r="I51" s="9">
        <f t="shared" si="9"/>
        <v>0.1874874101694915</v>
      </c>
      <c r="J51" s="24">
        <f t="shared" si="6"/>
        <v>0.18338700677966097</v>
      </c>
      <c r="K51" s="34">
        <f t="shared" si="7"/>
        <v>0.17928660338983046</v>
      </c>
      <c r="L51" s="9">
        <f t="shared" si="8"/>
        <v>0.17149583694915252</v>
      </c>
      <c r="M51" s="1"/>
      <c r="N51" s="1"/>
      <c r="O51" s="1"/>
    </row>
    <row r="52" spans="1:15" x14ac:dyDescent="0.2">
      <c r="A52" s="8">
        <v>29</v>
      </c>
      <c r="B52" s="10">
        <v>15</v>
      </c>
      <c r="C52" s="10">
        <f t="shared" si="2"/>
        <v>2.9</v>
      </c>
      <c r="D52" s="11">
        <f t="shared" si="3"/>
        <v>12.1</v>
      </c>
      <c r="E52" s="11">
        <f t="shared" si="11"/>
        <v>0.73499999999999988</v>
      </c>
      <c r="F52" s="5">
        <v>12.728813559322035</v>
      </c>
      <c r="G52" s="9">
        <f t="shared" si="4"/>
        <v>0.14033516949152539</v>
      </c>
      <c r="H52" s="9">
        <f t="shared" si="5"/>
        <v>0.12676943644067795</v>
      </c>
      <c r="I52" s="9">
        <f t="shared" si="9"/>
        <v>0.12405628983050845</v>
      </c>
      <c r="J52" s="24">
        <f t="shared" si="6"/>
        <v>0.12134314322033896</v>
      </c>
      <c r="K52" s="34">
        <f t="shared" si="7"/>
        <v>0.11862999661016947</v>
      </c>
      <c r="L52" s="9">
        <f t="shared" si="8"/>
        <v>0.11347501805084743</v>
      </c>
      <c r="M52" s="1"/>
      <c r="N52" s="1"/>
      <c r="O52" s="1"/>
    </row>
    <row r="53" spans="1:15" x14ac:dyDescent="0.2">
      <c r="A53" s="8">
        <v>30</v>
      </c>
      <c r="B53" s="10">
        <v>15</v>
      </c>
      <c r="C53" s="10">
        <f t="shared" si="2"/>
        <v>2.9</v>
      </c>
      <c r="D53" s="11">
        <f t="shared" si="3"/>
        <v>12.1</v>
      </c>
      <c r="E53" s="11">
        <f t="shared" si="11"/>
        <v>0.68300000000000005</v>
      </c>
      <c r="F53" s="5">
        <v>8.1186440677966107</v>
      </c>
      <c r="G53" s="9">
        <f t="shared" si="4"/>
        <v>8.3175508474576276E-2</v>
      </c>
      <c r="H53" s="9">
        <f t="shared" si="5"/>
        <v>7.5135209322033894E-2</v>
      </c>
      <c r="I53" s="9">
        <f t="shared" si="9"/>
        <v>7.3527149491525418E-2</v>
      </c>
      <c r="J53" s="24">
        <f t="shared" si="6"/>
        <v>7.1919089661016955E-2</v>
      </c>
      <c r="K53" s="34">
        <f t="shared" si="7"/>
        <v>7.0311029830508479E-2</v>
      </c>
      <c r="L53" s="9">
        <f t="shared" si="8"/>
        <v>6.7255716152542375E-2</v>
      </c>
      <c r="M53" s="1"/>
      <c r="N53" s="1"/>
      <c r="O53" s="1"/>
    </row>
    <row r="54" spans="1:15" x14ac:dyDescent="0.2">
      <c r="A54" s="8">
        <v>31</v>
      </c>
      <c r="B54" s="10">
        <v>15</v>
      </c>
      <c r="C54" s="10">
        <f t="shared" si="2"/>
        <v>2.9</v>
      </c>
      <c r="D54" s="11">
        <f t="shared" si="3"/>
        <v>12.1</v>
      </c>
      <c r="E54" s="11">
        <f t="shared" si="11"/>
        <v>0.63100000000000001</v>
      </c>
      <c r="F54" s="5">
        <v>5.593220338983051</v>
      </c>
      <c r="G54" s="9">
        <f t="shared" si="4"/>
        <v>5.2939830508474589E-2</v>
      </c>
      <c r="H54" s="9">
        <f t="shared" si="5"/>
        <v>4.7822313559322038E-2</v>
      </c>
      <c r="I54" s="9">
        <f t="shared" si="9"/>
        <v>4.6798810169491528E-2</v>
      </c>
      <c r="J54" s="24">
        <f t="shared" si="6"/>
        <v>4.5775306779661018E-2</v>
      </c>
      <c r="K54" s="34">
        <f t="shared" si="7"/>
        <v>4.4751803389830515E-2</v>
      </c>
      <c r="L54" s="9">
        <f t="shared" si="8"/>
        <v>4.2807146949152546E-2</v>
      </c>
      <c r="M54" s="1"/>
      <c r="N54" s="1"/>
      <c r="O54" s="1"/>
    </row>
    <row r="55" spans="1:15" x14ac:dyDescent="0.2">
      <c r="A55" s="8">
        <v>32</v>
      </c>
      <c r="B55" s="10">
        <v>15</v>
      </c>
      <c r="C55" s="10">
        <f t="shared" si="2"/>
        <v>2.9</v>
      </c>
      <c r="D55" s="11">
        <f t="shared" si="3"/>
        <v>12.1</v>
      </c>
      <c r="E55" s="11">
        <f t="shared" si="11"/>
        <v>0.57899999999999996</v>
      </c>
      <c r="F55" s="5">
        <v>2.7796610169491527</v>
      </c>
      <c r="G55" s="9">
        <f t="shared" si="4"/>
        <v>2.4141355932203391E-2</v>
      </c>
      <c r="H55" s="9">
        <f t="shared" si="5"/>
        <v>2.1807691525423729E-2</v>
      </c>
      <c r="I55" s="9">
        <f t="shared" si="9"/>
        <v>2.1340958644067796E-2</v>
      </c>
      <c r="J55" s="24">
        <f t="shared" si="6"/>
        <v>2.0874225762711866E-2</v>
      </c>
      <c r="K55" s="34">
        <f t="shared" si="7"/>
        <v>2.0407492881355932E-2</v>
      </c>
      <c r="L55" s="9">
        <f t="shared" si="8"/>
        <v>1.9520700406779661E-2</v>
      </c>
      <c r="M55" s="1"/>
      <c r="N55" s="1"/>
      <c r="O55" s="1"/>
    </row>
    <row r="56" spans="1:15" x14ac:dyDescent="0.2">
      <c r="A56" s="8">
        <v>33</v>
      </c>
      <c r="B56" s="10">
        <v>15</v>
      </c>
      <c r="C56" s="10">
        <f t="shared" si="2"/>
        <v>2.9</v>
      </c>
      <c r="D56" s="11">
        <f t="shared" si="3"/>
        <v>12.1</v>
      </c>
      <c r="E56" s="11">
        <f t="shared" si="11"/>
        <v>0.52699999999999991</v>
      </c>
      <c r="F56" s="5">
        <v>1.2881355932203389</v>
      </c>
      <c r="G56" s="9">
        <f t="shared" si="4"/>
        <v>1.0182711864406778E-2</v>
      </c>
      <c r="H56" s="9">
        <f t="shared" si="5"/>
        <v>9.1983830508474557E-3</v>
      </c>
      <c r="I56" s="9">
        <f t="shared" si="9"/>
        <v>9.0015172881355906E-3</v>
      </c>
      <c r="J56" s="24">
        <f t="shared" si="6"/>
        <v>8.8046515254237272E-3</v>
      </c>
      <c r="K56" s="34">
        <f t="shared" si="7"/>
        <v>8.6077857627118622E-3</v>
      </c>
      <c r="L56" s="9">
        <f t="shared" si="8"/>
        <v>8.2337408135593204E-3</v>
      </c>
      <c r="M56" s="1"/>
      <c r="N56" s="1"/>
      <c r="O56" s="1"/>
    </row>
    <row r="57" spans="1:15" x14ac:dyDescent="0.2">
      <c r="A57" s="8">
        <v>34</v>
      </c>
      <c r="B57" s="10">
        <v>15</v>
      </c>
      <c r="C57" s="10">
        <f t="shared" si="2"/>
        <v>2.9</v>
      </c>
      <c r="D57" s="11">
        <f t="shared" si="3"/>
        <v>12.1</v>
      </c>
      <c r="E57" s="11">
        <f t="shared" si="11"/>
        <v>0.47499999999999987</v>
      </c>
      <c r="F57" s="5">
        <v>0.59322033898305082</v>
      </c>
      <c r="G57" s="9">
        <f t="shared" si="4"/>
        <v>4.2266949152542366E-3</v>
      </c>
      <c r="H57" s="9">
        <f t="shared" si="5"/>
        <v>3.8181144067796599E-3</v>
      </c>
      <c r="I57" s="9">
        <f t="shared" si="9"/>
        <v>3.7363983050847445E-3</v>
      </c>
      <c r="J57" s="24">
        <f t="shared" si="6"/>
        <v>3.6546822033898295E-3</v>
      </c>
      <c r="K57" s="34">
        <f t="shared" si="7"/>
        <v>3.5729661016949141E-3</v>
      </c>
      <c r="L57" s="9">
        <f t="shared" si="8"/>
        <v>3.4177055084745754E-3</v>
      </c>
      <c r="M57" s="1"/>
      <c r="N57" s="1"/>
      <c r="O57" s="1"/>
    </row>
    <row r="58" spans="1:15" x14ac:dyDescent="0.2">
      <c r="A58" s="8">
        <v>35</v>
      </c>
      <c r="B58" s="10">
        <v>15</v>
      </c>
      <c r="C58" s="10">
        <f t="shared" si="2"/>
        <v>2.9</v>
      </c>
      <c r="D58" s="11">
        <f t="shared" si="3"/>
        <v>12.1</v>
      </c>
      <c r="E58" s="11">
        <f t="shared" si="11"/>
        <v>0.42300000000000004</v>
      </c>
      <c r="F58" s="5">
        <v>0.15254237288135594</v>
      </c>
      <c r="G58" s="9">
        <f t="shared" si="4"/>
        <v>9.678813559322036E-4</v>
      </c>
      <c r="H58" s="9">
        <f t="shared" si="5"/>
        <v>8.7431949152542391E-4</v>
      </c>
      <c r="I58" s="9">
        <f t="shared" si="9"/>
        <v>8.5560711864406797E-4</v>
      </c>
      <c r="J58" s="24">
        <f t="shared" si="6"/>
        <v>8.3689474576271203E-4</v>
      </c>
      <c r="K58" s="34">
        <f t="shared" si="7"/>
        <v>8.1818237288135609E-4</v>
      </c>
      <c r="L58" s="9">
        <f t="shared" si="8"/>
        <v>7.8262886440677983E-4</v>
      </c>
      <c r="M58" s="1"/>
      <c r="N58" s="1"/>
      <c r="O58" s="1"/>
    </row>
    <row r="59" spans="1:15" x14ac:dyDescent="0.2">
      <c r="M59" s="1"/>
      <c r="N59" s="1"/>
      <c r="O59" s="1"/>
    </row>
    <row r="60" spans="1:15" x14ac:dyDescent="0.2">
      <c r="G60" s="18">
        <f t="shared" ref="G60:L60" si="12">SUM(G3:G58)</f>
        <v>55.0673231236416</v>
      </c>
      <c r="H60" s="18">
        <f t="shared" si="12"/>
        <v>37.665628713552088</v>
      </c>
      <c r="I60" s="18">
        <f t="shared" si="12"/>
        <v>34.185289831534199</v>
      </c>
      <c r="J60" s="25">
        <f t="shared" si="12"/>
        <v>30.704950949516306</v>
      </c>
      <c r="K60" s="35">
        <f t="shared" si="12"/>
        <v>27.224612067498409</v>
      </c>
      <c r="L60" s="18">
        <f t="shared" si="12"/>
        <v>20.611968191664388</v>
      </c>
      <c r="N60" s="1"/>
      <c r="O60" s="1"/>
    </row>
    <row r="61" spans="1:15" x14ac:dyDescent="0.2">
      <c r="H61" s="20">
        <f>($G60-H60)/$G60</f>
        <v>0.31600763253041775</v>
      </c>
      <c r="I61" s="20">
        <f>($G60-I60)/$G60</f>
        <v>0.3792091590365011</v>
      </c>
      <c r="J61" s="26">
        <f>($G60-J60)/$G60</f>
        <v>0.44241068554258445</v>
      </c>
      <c r="K61" s="36">
        <f>($G60-K60)/$G60</f>
        <v>0.50561221204866791</v>
      </c>
      <c r="L61" s="20">
        <f>($G60-L60)/$G60</f>
        <v>0.62569511241022679</v>
      </c>
      <c r="N61" s="1"/>
      <c r="O61" s="1"/>
    </row>
    <row r="62" spans="1:15" x14ac:dyDescent="0.2">
      <c r="N62" s="1"/>
      <c r="O62" s="1"/>
    </row>
    <row r="63" spans="1:15" x14ac:dyDescent="0.2">
      <c r="N63" s="1"/>
      <c r="O63" s="1"/>
    </row>
    <row r="64" spans="1:15" x14ac:dyDescent="0.2">
      <c r="N64" s="1"/>
      <c r="O64" s="1"/>
    </row>
    <row r="65" spans="14:15" x14ac:dyDescent="0.2">
      <c r="N65" s="1"/>
      <c r="O65" s="1"/>
    </row>
    <row r="66" spans="14:15" x14ac:dyDescent="0.2">
      <c r="N66" s="1"/>
      <c r="O66" s="1"/>
    </row>
    <row r="67" spans="14:15" x14ac:dyDescent="0.2">
      <c r="N67" s="1"/>
      <c r="O67" s="1"/>
    </row>
    <row r="68" spans="14:15" x14ac:dyDescent="0.2">
      <c r="N68" s="1"/>
      <c r="O68" s="1"/>
    </row>
    <row r="69" spans="14:15" x14ac:dyDescent="0.2">
      <c r="N69" s="1"/>
      <c r="O69" s="1"/>
    </row>
    <row r="70" spans="14:15" x14ac:dyDescent="0.2">
      <c r="N70" s="1"/>
      <c r="O70" s="1"/>
    </row>
    <row r="71" spans="14:15" x14ac:dyDescent="0.2">
      <c r="N71" s="1"/>
      <c r="O71" s="1"/>
    </row>
    <row r="72" spans="14:15" x14ac:dyDescent="0.2">
      <c r="N72" s="1"/>
      <c r="O72" s="1"/>
    </row>
    <row r="73" spans="14:15" x14ac:dyDescent="0.2">
      <c r="N73" s="1"/>
      <c r="O73" s="1"/>
    </row>
    <row r="74" spans="14:15" x14ac:dyDescent="0.2">
      <c r="N74" s="1"/>
      <c r="O74" s="1"/>
    </row>
    <row r="75" spans="14:15" x14ac:dyDescent="0.2">
      <c r="N75" s="1"/>
      <c r="O75" s="1"/>
    </row>
    <row r="76" spans="14:15" x14ac:dyDescent="0.2">
      <c r="N76" s="1"/>
      <c r="O76" s="1"/>
    </row>
    <row r="77" spans="14:15" x14ac:dyDescent="0.2">
      <c r="N77" s="1"/>
      <c r="O77" s="1"/>
    </row>
    <row r="78" spans="14:15" x14ac:dyDescent="0.2">
      <c r="N78" s="1"/>
      <c r="O78" s="1"/>
    </row>
    <row r="79" spans="14:15" x14ac:dyDescent="0.2">
      <c r="N79" s="1"/>
      <c r="O79" s="1"/>
    </row>
    <row r="80" spans="14:15" x14ac:dyDescent="0.2">
      <c r="N80" s="1"/>
      <c r="O80" s="1"/>
    </row>
    <row r="81" spans="14:15" x14ac:dyDescent="0.2">
      <c r="N81" s="1"/>
      <c r="O81" s="1"/>
    </row>
    <row r="82" spans="14:15" x14ac:dyDescent="0.2">
      <c r="N82" s="1"/>
      <c r="O82" s="1"/>
    </row>
    <row r="83" spans="14:15" x14ac:dyDescent="0.2">
      <c r="N83" s="1"/>
      <c r="O83" s="1"/>
    </row>
    <row r="84" spans="14:15" x14ac:dyDescent="0.2">
      <c r="N84" s="1"/>
      <c r="O84" s="1"/>
    </row>
    <row r="85" spans="14:15" x14ac:dyDescent="0.2">
      <c r="N85" s="1"/>
      <c r="O85" s="1"/>
    </row>
    <row r="86" spans="14:15" x14ac:dyDescent="0.2">
      <c r="N86" s="1"/>
      <c r="O86" s="1"/>
    </row>
    <row r="87" spans="14:15" x14ac:dyDescent="0.2">
      <c r="N87" s="1"/>
      <c r="O87" s="1"/>
    </row>
    <row r="88" spans="14:15" x14ac:dyDescent="0.2">
      <c r="N88" s="1"/>
      <c r="O88" s="1"/>
    </row>
    <row r="89" spans="14:15" x14ac:dyDescent="0.2">
      <c r="N89" s="1"/>
      <c r="O89" s="1"/>
    </row>
    <row r="90" spans="14:15" x14ac:dyDescent="0.2">
      <c r="N90" s="1"/>
      <c r="O90" s="1"/>
    </row>
    <row r="91" spans="14:15" x14ac:dyDescent="0.2">
      <c r="N91" s="1"/>
      <c r="O91" s="1"/>
    </row>
    <row r="92" spans="14:15" x14ac:dyDescent="0.2">
      <c r="N92" s="1"/>
      <c r="O92" s="1"/>
    </row>
    <row r="93" spans="14:15" x14ac:dyDescent="0.2">
      <c r="N93" s="1"/>
      <c r="O93" s="1"/>
    </row>
    <row r="94" spans="14:15" x14ac:dyDescent="0.2">
      <c r="N94" s="1"/>
      <c r="O94" s="1"/>
    </row>
    <row r="95" spans="14:15" x14ac:dyDescent="0.2">
      <c r="N95" s="1"/>
      <c r="O95" s="1"/>
    </row>
    <row r="96" spans="14:15" x14ac:dyDescent="0.2">
      <c r="N96" s="1"/>
      <c r="O96" s="1"/>
    </row>
    <row r="97" spans="14:14" x14ac:dyDescent="0.2">
      <c r="N97" s="1"/>
    </row>
  </sheetData>
  <sheetProtection algorithmName="SHA-512" hashValue="Hn+3ju0r0uFDPVjkYkMrcP0YHnUDALs/76hsfiXMBwMa5scyaedAGrLL79HOXEFeKHs9RpUaJ4BWA9xwqPfg7w==" saltValue="oMGi8W/wZjyLRfkl75yqaA==" spinCount="100000" sheet="1" objects="1" scenarios="1"/>
  <phoneticPr fontId="3"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VLEESKUIKENOUDERDIEREN</vt:lpstr>
      <vt:lpstr>wisselend debiet en reductie</vt:lpstr>
      <vt:lpstr>Max waarden</vt:lpstr>
      <vt:lpstr>Reductietechnieken</vt:lpstr>
      <vt:lpstr>vkod</vt:lpstr>
      <vt:lpstr>VLEESKUIKENOUDERDIEREN!Afdrukbereik</vt:lpstr>
      <vt:lpstr>'wisselend debiet en reductie'!Afdruktitels</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van Emous</dc:creator>
  <cp:lastModifiedBy>Vierhuis, Esther (WVL)</cp:lastModifiedBy>
  <cp:lastPrinted>2020-12-30T10:07:38Z</cp:lastPrinted>
  <dcterms:created xsi:type="dcterms:W3CDTF">2010-11-01T16:40:05Z</dcterms:created>
  <dcterms:modified xsi:type="dcterms:W3CDTF">2021-03-12T10:54:54Z</dcterms:modified>
</cp:coreProperties>
</file>